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tabRatio="737"/>
  </bookViews>
  <sheets>
    <sheet name="табл.4 Паспорт МП" sheetId="1" r:id="rId1"/>
  </sheets>
  <definedNames>
    <definedName name="_xlnm.Print_Area" localSheetId="0">'табл.4 Паспорт МП'!$A$1:$J$127</definedName>
  </definedNames>
  <calcPr calcId="162913"/>
</workbook>
</file>

<file path=xl/calcChain.xml><?xml version="1.0" encoding="utf-8"?>
<calcChain xmlns="http://schemas.openxmlformats.org/spreadsheetml/2006/main">
  <c r="F93" i="1" l="1"/>
  <c r="J98" i="1" l="1"/>
  <c r="D97" i="1"/>
  <c r="D98" i="1"/>
  <c r="D80" i="1"/>
  <c r="F91" i="1"/>
  <c r="J91" i="1" s="1"/>
  <c r="F95" i="1"/>
  <c r="F89" i="1"/>
  <c r="D87" i="1"/>
  <c r="J87" i="1" s="1"/>
  <c r="D85" i="1"/>
  <c r="D81" i="1"/>
  <c r="J92" i="1"/>
  <c r="J90" i="1"/>
  <c r="J88" i="1"/>
  <c r="J86" i="1"/>
  <c r="J85" i="1"/>
  <c r="J84" i="1"/>
  <c r="J83" i="1"/>
  <c r="J82" i="1"/>
  <c r="J81" i="1"/>
  <c r="F113" i="1" l="1"/>
  <c r="E113" i="1"/>
  <c r="E25" i="1"/>
  <c r="F23" i="1"/>
  <c r="D23" i="1"/>
  <c r="E23" i="1"/>
  <c r="F117" i="1" l="1"/>
  <c r="F115" i="1"/>
  <c r="E117" i="1"/>
  <c r="E115" i="1"/>
  <c r="D117" i="1"/>
  <c r="D115" i="1"/>
  <c r="F111" i="1"/>
  <c r="E111" i="1"/>
  <c r="D113" i="1"/>
  <c r="D111" i="1"/>
  <c r="F107" i="1"/>
  <c r="E107" i="1"/>
  <c r="D107" i="1"/>
  <c r="E104" i="1"/>
  <c r="E102" i="1"/>
  <c r="F67" i="1"/>
  <c r="E15" i="1"/>
  <c r="E13" i="1"/>
  <c r="F65" i="1"/>
  <c r="E65" i="1"/>
  <c r="F63" i="1"/>
  <c r="E63" i="1"/>
  <c r="F60" i="1"/>
  <c r="E60" i="1"/>
  <c r="F58" i="1"/>
  <c r="E58" i="1"/>
  <c r="F55" i="1"/>
  <c r="E55" i="1"/>
  <c r="F53" i="1"/>
  <c r="E53" i="1"/>
  <c r="F50" i="1"/>
  <c r="E50" i="1"/>
  <c r="F48" i="1"/>
  <c r="E48" i="1"/>
  <c r="F45" i="1"/>
  <c r="E45" i="1"/>
  <c r="F43" i="1"/>
  <c r="E43" i="1"/>
  <c r="F40" i="1"/>
  <c r="E40" i="1"/>
  <c r="F38" i="1"/>
  <c r="E38" i="1"/>
  <c r="F35" i="1"/>
  <c r="E35" i="1"/>
  <c r="F33" i="1"/>
  <c r="E33" i="1"/>
  <c r="F30" i="1"/>
  <c r="E30" i="1"/>
  <c r="F28" i="1"/>
  <c r="E28" i="1"/>
  <c r="F25" i="1"/>
  <c r="D25" i="1"/>
  <c r="D65" i="1"/>
  <c r="D63" i="1"/>
  <c r="D60" i="1"/>
  <c r="D58" i="1"/>
  <c r="D55" i="1"/>
  <c r="D53" i="1"/>
  <c r="D50" i="1"/>
  <c r="D48" i="1"/>
  <c r="D45" i="1"/>
  <c r="D43" i="1"/>
  <c r="D40" i="1"/>
  <c r="D38" i="1"/>
  <c r="D35" i="1"/>
  <c r="D33" i="1"/>
  <c r="D30" i="1"/>
  <c r="D28" i="1"/>
  <c r="D13" i="1"/>
  <c r="F15" i="1"/>
  <c r="F13" i="1"/>
  <c r="D15" i="1"/>
  <c r="F8" i="1" l="1"/>
  <c r="D67" i="1"/>
  <c r="E67" i="1"/>
  <c r="J78" i="1"/>
  <c r="E8" i="1"/>
  <c r="D8" i="1"/>
  <c r="E10" i="1" l="1"/>
  <c r="I106" i="1"/>
  <c r="H106" i="1"/>
  <c r="G106" i="1"/>
  <c r="J114" i="1"/>
  <c r="J112" i="1"/>
  <c r="J111" i="1"/>
  <c r="J110" i="1"/>
  <c r="J109" i="1"/>
  <c r="J108" i="1"/>
  <c r="F106" i="1" l="1"/>
  <c r="J107" i="1"/>
  <c r="E106" i="1"/>
  <c r="D106" i="1"/>
  <c r="J113" i="1"/>
  <c r="G67" i="1"/>
  <c r="H67" i="1"/>
  <c r="I67" i="1"/>
  <c r="J68" i="1"/>
  <c r="J69" i="1"/>
  <c r="J70" i="1"/>
  <c r="J71" i="1"/>
  <c r="J121" i="1" l="1"/>
  <c r="J122" i="1"/>
  <c r="J123" i="1"/>
  <c r="J124" i="1"/>
  <c r="J125" i="1"/>
  <c r="J126" i="1"/>
  <c r="J127" i="1"/>
  <c r="J120" i="1"/>
  <c r="J116" i="1"/>
  <c r="J117" i="1"/>
  <c r="J118" i="1"/>
  <c r="J115" i="1"/>
  <c r="J103" i="1"/>
  <c r="J104" i="1"/>
  <c r="J105" i="1"/>
  <c r="J102" i="1"/>
  <c r="J94" i="1"/>
  <c r="J95" i="1"/>
  <c r="J96" i="1"/>
  <c r="J93" i="1"/>
  <c r="J73" i="1"/>
  <c r="J74" i="1"/>
  <c r="J75" i="1"/>
  <c r="J72" i="1"/>
  <c r="J64" i="1"/>
  <c r="J65" i="1"/>
  <c r="J66" i="1"/>
  <c r="J63" i="1"/>
  <c r="J59" i="1"/>
  <c r="J60" i="1"/>
  <c r="J61" i="1"/>
  <c r="J58" i="1"/>
  <c r="J54" i="1"/>
  <c r="J55" i="1"/>
  <c r="J56" i="1"/>
  <c r="J53" i="1"/>
  <c r="J49" i="1"/>
  <c r="J50" i="1"/>
  <c r="J51" i="1"/>
  <c r="J48" i="1"/>
  <c r="J44" i="1"/>
  <c r="J45" i="1"/>
  <c r="J46" i="1"/>
  <c r="J43" i="1"/>
  <c r="J39" i="1"/>
  <c r="J40" i="1"/>
  <c r="J41" i="1"/>
  <c r="J38" i="1"/>
  <c r="J34" i="1"/>
  <c r="J35" i="1"/>
  <c r="J36" i="1"/>
  <c r="J33" i="1"/>
  <c r="J29" i="1"/>
  <c r="J30" i="1"/>
  <c r="J31" i="1"/>
  <c r="J28" i="1"/>
  <c r="J24" i="1"/>
  <c r="J25" i="1"/>
  <c r="J26" i="1"/>
  <c r="J23" i="1"/>
  <c r="J19" i="1"/>
  <c r="J20" i="1"/>
  <c r="J21" i="1"/>
  <c r="J18" i="1"/>
  <c r="J14" i="1"/>
  <c r="J15" i="1"/>
  <c r="J16" i="1"/>
  <c r="J13" i="1"/>
  <c r="E119" i="1"/>
  <c r="F119" i="1"/>
  <c r="G119" i="1"/>
  <c r="H119" i="1"/>
  <c r="I119" i="1"/>
  <c r="D119" i="1"/>
  <c r="J67" i="1" l="1"/>
  <c r="J106" i="1"/>
  <c r="J12" i="1"/>
  <c r="J17" i="1"/>
  <c r="J37" i="1"/>
  <c r="J42" i="1"/>
  <c r="J47" i="1"/>
  <c r="J52" i="1"/>
  <c r="J57" i="1"/>
  <c r="J62" i="1"/>
  <c r="J22" i="1"/>
  <c r="J27" i="1"/>
  <c r="J32" i="1"/>
  <c r="J119" i="1"/>
  <c r="E97" i="1" l="1"/>
  <c r="F97" i="1"/>
  <c r="G97" i="1"/>
  <c r="H97" i="1"/>
  <c r="I97" i="1"/>
  <c r="E80" i="1"/>
  <c r="G80" i="1"/>
  <c r="H80" i="1"/>
  <c r="I80" i="1"/>
  <c r="G8" i="1" l="1"/>
  <c r="E11" i="1"/>
  <c r="F11" i="1"/>
  <c r="G11" i="1"/>
  <c r="H11" i="1"/>
  <c r="I11" i="1"/>
  <c r="D11" i="1"/>
  <c r="F10" i="1"/>
  <c r="G10" i="1"/>
  <c r="H10" i="1"/>
  <c r="I10" i="1"/>
  <c r="D10" i="1"/>
  <c r="E9" i="1"/>
  <c r="F9" i="1"/>
  <c r="G9" i="1"/>
  <c r="H9" i="1"/>
  <c r="I9" i="1"/>
  <c r="D9" i="1"/>
  <c r="H8" i="1"/>
  <c r="I8" i="1"/>
  <c r="I17" i="1"/>
  <c r="H17" i="1"/>
  <c r="G17" i="1"/>
  <c r="F17" i="1"/>
  <c r="E17" i="1"/>
  <c r="D17" i="1"/>
  <c r="J11" i="1" l="1"/>
  <c r="J9" i="1"/>
  <c r="J10" i="1"/>
  <c r="J8" i="1"/>
  <c r="F22" i="1"/>
  <c r="G22" i="1"/>
  <c r="H22" i="1"/>
  <c r="I22" i="1"/>
  <c r="J7" i="1" l="1"/>
  <c r="E12" i="1"/>
  <c r="F12" i="1" l="1"/>
  <c r="G12" i="1"/>
  <c r="H12" i="1"/>
  <c r="I12" i="1"/>
  <c r="D12" i="1"/>
  <c r="D22" i="1" l="1"/>
  <c r="D27" i="1"/>
  <c r="E22" i="1"/>
  <c r="E27" i="1"/>
  <c r="I62" i="1" l="1"/>
  <c r="H62" i="1"/>
  <c r="G62" i="1"/>
  <c r="F62" i="1"/>
  <c r="E62" i="1"/>
  <c r="D62" i="1"/>
  <c r="I57" i="1"/>
  <c r="H57" i="1"/>
  <c r="G57" i="1"/>
  <c r="F57" i="1"/>
  <c r="E57" i="1"/>
  <c r="D57" i="1"/>
  <c r="I52" i="1"/>
  <c r="H52" i="1"/>
  <c r="G52" i="1"/>
  <c r="F52" i="1"/>
  <c r="E52" i="1"/>
  <c r="D52" i="1"/>
  <c r="I47" i="1"/>
  <c r="H47" i="1"/>
  <c r="G47" i="1"/>
  <c r="F47" i="1"/>
  <c r="E47" i="1"/>
  <c r="D47" i="1"/>
  <c r="I42" i="1"/>
  <c r="H42" i="1"/>
  <c r="G42" i="1"/>
  <c r="F42" i="1"/>
  <c r="E42" i="1"/>
  <c r="D42" i="1"/>
  <c r="I37" i="1"/>
  <c r="H37" i="1"/>
  <c r="G37" i="1"/>
  <c r="F37" i="1"/>
  <c r="E37" i="1"/>
  <c r="D37" i="1"/>
  <c r="I32" i="1"/>
  <c r="H32" i="1"/>
  <c r="G32" i="1"/>
  <c r="F32" i="1"/>
  <c r="E32" i="1"/>
  <c r="D32" i="1"/>
  <c r="I27" i="1"/>
  <c r="H27" i="1"/>
  <c r="G27" i="1"/>
  <c r="F27" i="1"/>
  <c r="E7" i="1" l="1"/>
  <c r="F7" i="1"/>
  <c r="G7" i="1"/>
  <c r="H7" i="1"/>
  <c r="I7" i="1"/>
  <c r="D7" i="1"/>
</calcChain>
</file>

<file path=xl/sharedStrings.xml><?xml version="1.0" encoding="utf-8"?>
<sst xmlns="http://schemas.openxmlformats.org/spreadsheetml/2006/main" count="160" uniqueCount="44">
  <si>
    <t>№</t>
  </si>
  <si>
    <t>п/п</t>
  </si>
  <si>
    <t>Ответственный исполнитель, соисполнитель, исполнитель муниципальной программы, направление, структурный элемент, мероприятие (результат) &lt;7&gt;</t>
  </si>
  <si>
    <t>Источник финансового обеспечения &lt;8&gt;</t>
  </si>
  <si>
    <t>всего</t>
  </si>
  <si>
    <t>Муниципальная программа</t>
  </si>
  <si>
    <t>МБ</t>
  </si>
  <si>
    <t>ФБ</t>
  </si>
  <si>
    <t>ОБ</t>
  </si>
  <si>
    <t>ВБ</t>
  </si>
  <si>
    <t>Соисполнитель 
Территориальный орган «Пригородный»</t>
  </si>
  <si>
    <t>Соисполнитель 
Территориальный орган «Пельшемский»</t>
  </si>
  <si>
    <t>Соисполнитель 
Территориальный орган «Двиницкий»</t>
  </si>
  <si>
    <t>Соисполнитель 
Территориальный орган «Воробьевский»</t>
  </si>
  <si>
    <t>Соисполнитель 
Территориальный орган «Биряковский»</t>
  </si>
  <si>
    <t>Соисполнитель 
Территориальный орган «Архангельский»</t>
  </si>
  <si>
    <t>Объем финансового обеспечения по годам , тыс. руб.</t>
  </si>
  <si>
    <t>всего, 
в том числе:</t>
  </si>
  <si>
    <t xml:space="preserve">4. Финансовое обеспечение муниципальной программы </t>
  </si>
  <si>
    <t>Ответственный исполнитель 
МКУ СМО "Управление строительства и ЖКХ"</t>
  </si>
  <si>
    <t>Соисполнитель 
Территориальный орган "Город Сокол"</t>
  </si>
  <si>
    <t>Соисполнитель 
Территориальный орган "Город Кадников"</t>
  </si>
  <si>
    <t>Соисполнитель 
Территориальный орган «Чучковский»</t>
  </si>
  <si>
    <t>Администрация Сокольского муниципального округа</t>
  </si>
  <si>
    <t>Муниципальный проект "Поставка сжиженного углеводородного газа населению"</t>
  </si>
  <si>
    <t>Муниципальный проект "Поддержка коммунального хозяйства"</t>
  </si>
  <si>
    <t>Муниципальный проект "Организация уличного освещения"</t>
  </si>
  <si>
    <t>Муниципальный проект "Газификация Сокольского муниципального округа"</t>
  </si>
  <si>
    <t>Приложение 1 к паспору муниципальной программы</t>
  </si>
  <si>
    <t>Муниципальный проект "Строительство и капитальный ремонт объектов теплоэнергетики"</t>
  </si>
  <si>
    <t>Снабжение сжиженным углеводородным газом населения для бытовых нужд и отопления</t>
  </si>
  <si>
    <t>Техническое обслуживание групповых резервуарных установок сжиженного газа</t>
  </si>
  <si>
    <t>Компенсация затрат, связанных с реализацией населению области сжиженного углеводородного газа</t>
  </si>
  <si>
    <t>Строительство, капитальный ремонт и ремонт объектов теплоэнергетики</t>
  </si>
  <si>
    <t>Строительство блочно-модульной котельной с сетями инженерно-технического обнспечения</t>
  </si>
  <si>
    <t>Техническое перевооружение системы теплоснабжения потребителей от источников Бойлерная №1 и №2, с целью переключения потребителей горячего водоснабжения на закрытую схему с подключением к новому источнику блочно-модульная котельная</t>
  </si>
  <si>
    <t>Мероприятия в области коммунального хозяйства</t>
  </si>
  <si>
    <t xml:space="preserve"> Строительство, реконструкция и капитальный ремонт централизованных систем водоснабжения и водоотведения</t>
  </si>
  <si>
    <t>Обеспечение уличного освещения</t>
  </si>
  <si>
    <t>Организация уличного освещения</t>
  </si>
  <si>
    <t>Обустройство систем уличного освещения</t>
  </si>
  <si>
    <t>Проведение мероприятий по техническому обслуживанию газопровода</t>
  </si>
  <si>
    <t>Проектирование и строительство распределительных газовых сетей</t>
  </si>
  <si>
    <t>Подготовка объектов теплоэнергетики, находящихся в муниципальной собственности, к работе в осенне-зимний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</si>
</sst>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3" fillId="0" borderId="0" xfId="0" applyNumberFormat="1" applyFont="1"/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2" borderId="5" xfId="0" applyFont="1" applyFill="1" applyBorder="1" applyAlignment="1">
      <alignment horizontal="left" vertical="top" wrapText="1"/>
    </xf>
    <xf numFmtId="2" fontId="2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4"/>
  <sheetViews>
    <sheetView tabSelected="1" topLeftCell="A115" zoomScaleNormal="100" workbookViewId="0">
      <selection activeCell="F130" sqref="F130"/>
    </sheetView>
  </sheetViews>
  <sheetFormatPr defaultRowHeight="15" x14ac:dyDescent="0.25"/>
  <cols>
    <col min="1" max="1" width="8.28515625" style="5" customWidth="1"/>
    <col min="2" max="2" width="37.42578125" style="4" customWidth="1"/>
    <col min="3" max="3" width="13.42578125" style="5" customWidth="1"/>
    <col min="4" max="10" width="16.42578125" style="17" customWidth="1"/>
    <col min="11" max="11" width="11.42578125" style="4" bestFit="1" customWidth="1"/>
  </cols>
  <sheetData>
    <row r="1" spans="1:10" ht="15.75" x14ac:dyDescent="0.25">
      <c r="G1" s="36" t="s">
        <v>28</v>
      </c>
      <c r="H1" s="37"/>
      <c r="I1" s="37"/>
      <c r="J1" s="37"/>
    </row>
    <row r="2" spans="1:10" ht="18.75" x14ac:dyDescent="0.25">
      <c r="A2" s="38" t="s">
        <v>18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12" customHeight="1" x14ac:dyDescent="0.25">
      <c r="A3" s="1"/>
    </row>
    <row r="4" spans="1:10" ht="15.75" x14ac:dyDescent="0.25">
      <c r="A4" s="2" t="s">
        <v>0</v>
      </c>
      <c r="B4" s="39" t="s">
        <v>2</v>
      </c>
      <c r="C4" s="40" t="s">
        <v>3</v>
      </c>
      <c r="D4" s="41" t="s">
        <v>16</v>
      </c>
      <c r="E4" s="42"/>
      <c r="F4" s="42"/>
      <c r="G4" s="42"/>
      <c r="H4" s="42"/>
      <c r="I4" s="42"/>
      <c r="J4" s="43"/>
    </row>
    <row r="5" spans="1:10" ht="15.75" x14ac:dyDescent="0.25">
      <c r="A5" s="2" t="s">
        <v>1</v>
      </c>
      <c r="B5" s="39"/>
      <c r="C5" s="40"/>
      <c r="D5" s="27">
        <v>2025</v>
      </c>
      <c r="E5" s="27">
        <v>2026</v>
      </c>
      <c r="F5" s="27">
        <v>2027</v>
      </c>
      <c r="G5" s="27">
        <v>2028</v>
      </c>
      <c r="H5" s="27">
        <v>2029</v>
      </c>
      <c r="I5" s="27">
        <v>2030</v>
      </c>
      <c r="J5" s="27" t="s">
        <v>4</v>
      </c>
    </row>
    <row r="6" spans="1:10" x14ac:dyDescent="0.25">
      <c r="A6" s="6">
        <v>1</v>
      </c>
      <c r="B6" s="6">
        <v>2</v>
      </c>
      <c r="C6" s="6">
        <v>3</v>
      </c>
      <c r="D6" s="28">
        <v>4</v>
      </c>
      <c r="E6" s="28">
        <v>5</v>
      </c>
      <c r="F6" s="28">
        <v>6</v>
      </c>
      <c r="G6" s="28">
        <v>7</v>
      </c>
      <c r="H6" s="28">
        <v>8</v>
      </c>
      <c r="I6" s="28">
        <v>9</v>
      </c>
      <c r="J6" s="28">
        <v>10</v>
      </c>
    </row>
    <row r="7" spans="1:10" ht="47.25" x14ac:dyDescent="0.25">
      <c r="A7" s="2">
        <v>1</v>
      </c>
      <c r="B7" s="14" t="s">
        <v>5</v>
      </c>
      <c r="C7" s="15" t="s">
        <v>17</v>
      </c>
      <c r="D7" s="50">
        <f>SUM(D8:D11)</f>
        <v>223887.34656000001</v>
      </c>
      <c r="E7" s="50">
        <f t="shared" ref="E7:I7" si="0">SUM(E8:E11)</f>
        <v>107009.10832999999</v>
      </c>
      <c r="F7" s="50">
        <f t="shared" si="0"/>
        <v>894431.36767000007</v>
      </c>
      <c r="G7" s="50">
        <f t="shared" si="0"/>
        <v>0</v>
      </c>
      <c r="H7" s="50">
        <f t="shared" si="0"/>
        <v>0</v>
      </c>
      <c r="I7" s="50">
        <f t="shared" si="0"/>
        <v>0</v>
      </c>
      <c r="J7" s="50">
        <f>J8+J9+J10+J11</f>
        <v>1225327.82256</v>
      </c>
    </row>
    <row r="8" spans="1:10" ht="15.75" x14ac:dyDescent="0.25">
      <c r="A8" s="2">
        <v>2</v>
      </c>
      <c r="B8" s="3"/>
      <c r="C8" s="2" t="s">
        <v>6</v>
      </c>
      <c r="D8" s="20">
        <f>D13+D18+D23+D28+D33+D38+D43+D48+D53+D58+D63</f>
        <v>48407.646559999994</v>
      </c>
      <c r="E8" s="20">
        <f>E13+E18+E23+E28+E33+E38+E43+E48+E53+E58+E63</f>
        <v>17817.508330000001</v>
      </c>
      <c r="F8" s="20">
        <f>F13+F18+F23+F28+F33+F38+F43+F48+F53+F58+F63</f>
        <v>49314.398700000012</v>
      </c>
      <c r="G8" s="20">
        <f>G13+G18+G23+G28+G33+G38+G43+G48+G53+G58+G63+G68+G124</f>
        <v>0</v>
      </c>
      <c r="H8" s="20">
        <f>H13+H18+H23+H28+H33+H38+H43+H48+H53+H58+H63+H68+H124</f>
        <v>0</v>
      </c>
      <c r="I8" s="20">
        <f>I13+I18+I23+I28+I33+I38+I43+I48+I53+I58+I63+I68+I124</f>
        <v>0</v>
      </c>
      <c r="J8" s="20">
        <f>D8+E8+F8+G8+H8+I8</f>
        <v>115539.55359</v>
      </c>
    </row>
    <row r="9" spans="1:10" ht="15.75" x14ac:dyDescent="0.25">
      <c r="A9" s="2">
        <v>3</v>
      </c>
      <c r="B9" s="3"/>
      <c r="C9" s="2" t="s">
        <v>7</v>
      </c>
      <c r="D9" s="20">
        <f t="shared" ref="D9:I9" si="1">D14+D19+D24+D29+D34+D39+D44+D49+D54+D59+D64+D69</f>
        <v>0</v>
      </c>
      <c r="E9" s="20">
        <f t="shared" si="1"/>
        <v>0</v>
      </c>
      <c r="F9" s="20">
        <f t="shared" si="1"/>
        <v>0</v>
      </c>
      <c r="G9" s="20">
        <f t="shared" si="1"/>
        <v>0</v>
      </c>
      <c r="H9" s="20">
        <f t="shared" si="1"/>
        <v>0</v>
      </c>
      <c r="I9" s="20">
        <f t="shared" si="1"/>
        <v>0</v>
      </c>
      <c r="J9" s="20">
        <f t="shared" ref="J9:J11" si="2">D9+E9+F9+G9+H9+I9</f>
        <v>0</v>
      </c>
    </row>
    <row r="10" spans="1:10" ht="15.75" x14ac:dyDescent="0.25">
      <c r="A10" s="2">
        <v>4</v>
      </c>
      <c r="B10" s="3"/>
      <c r="C10" s="2" t="s">
        <v>8</v>
      </c>
      <c r="D10" s="20">
        <f>D15+D20+D25+D30+D35+D40+D45+D50+D55+D60+D65+D70+D126</f>
        <v>175479.7</v>
      </c>
      <c r="E10" s="20">
        <f>E15+E20+E25+E30+E35+E40+E45+E50+E55+E60+E65+E70</f>
        <v>89191.599999999991</v>
      </c>
      <c r="F10" s="20">
        <f>F15+F20+F25+F30+F35+F40+F45+F50+F55+F60+F65+F70+F126</f>
        <v>845116.96897000005</v>
      </c>
      <c r="G10" s="20">
        <f>G15+G20+G25+G30+G35+G40+G45+G50+G55+G60+G65+G70+G126</f>
        <v>0</v>
      </c>
      <c r="H10" s="20">
        <f>H15+H20+H25+H30+H35+H40+H45+H50+H55+H60+H65+H70+H126</f>
        <v>0</v>
      </c>
      <c r="I10" s="20">
        <f>I15+I20+I25+I30+I35+I40+I45+I50+I55+I60+I65+I70+I126</f>
        <v>0</v>
      </c>
      <c r="J10" s="20">
        <f t="shared" si="2"/>
        <v>1109788.2689700001</v>
      </c>
    </row>
    <row r="11" spans="1:10" ht="15.75" x14ac:dyDescent="0.25">
      <c r="A11" s="2">
        <v>5</v>
      </c>
      <c r="B11" s="3"/>
      <c r="C11" s="2" t="s">
        <v>9</v>
      </c>
      <c r="D11" s="20">
        <f>D16+D21+D26+D31+D36+D41+D46+D51+D56+D61+D66+D71</f>
        <v>0</v>
      </c>
      <c r="E11" s="20">
        <f>E16+E21+E26+E31+E36+E41+E46+E51+E56+E61+E66+E71</f>
        <v>0</v>
      </c>
      <c r="F11" s="20">
        <f>F16+F21+F26+F31+F36+F41+F46+F51+F56+F61+F66+F71</f>
        <v>0</v>
      </c>
      <c r="G11" s="20">
        <f>G16+G21+G26+G31+G36+G41+G46+G51+G56+G61+G66+G71</f>
        <v>0</v>
      </c>
      <c r="H11" s="20">
        <f>H16+H21+H26+H31+H36+H41+H46+H51+H56+H61+H66+H71</f>
        <v>0</v>
      </c>
      <c r="I11" s="20">
        <f>I16+I21+I26+I31+I36+I41+I46+I51+I56+I61+I66+I71</f>
        <v>0</v>
      </c>
      <c r="J11" s="20">
        <f t="shared" si="2"/>
        <v>0</v>
      </c>
    </row>
    <row r="12" spans="1:10" ht="47.25" x14ac:dyDescent="0.25">
      <c r="A12" s="2">
        <v>1</v>
      </c>
      <c r="B12" s="14" t="s">
        <v>19</v>
      </c>
      <c r="C12" s="15" t="s">
        <v>17</v>
      </c>
      <c r="D12" s="50">
        <f>SUM(D13:D16)</f>
        <v>189525.55721</v>
      </c>
      <c r="E12" s="50">
        <f t="shared" ref="E12:I12" si="3">SUM(E13:E16)</f>
        <v>63875</v>
      </c>
      <c r="F12" s="50">
        <f t="shared" si="3"/>
        <v>855910.38434000011</v>
      </c>
      <c r="G12" s="50">
        <f t="shared" si="3"/>
        <v>0</v>
      </c>
      <c r="H12" s="50">
        <f t="shared" si="3"/>
        <v>0</v>
      </c>
      <c r="I12" s="50">
        <f t="shared" si="3"/>
        <v>0</v>
      </c>
      <c r="J12" s="50">
        <f>J13+J14+J15+J16</f>
        <v>1109310.9415500001</v>
      </c>
    </row>
    <row r="13" spans="1:10" ht="15.75" x14ac:dyDescent="0.25">
      <c r="A13" s="2">
        <v>2</v>
      </c>
      <c r="B13" s="3"/>
      <c r="C13" s="2" t="s">
        <v>6</v>
      </c>
      <c r="D13" s="21">
        <f>1600+400+209.14027+3156.88453+4118.05417+675+1500+25232.87824</f>
        <v>36891.957209999993</v>
      </c>
      <c r="E13" s="21">
        <f>3200+800+1720+675</f>
        <v>6395</v>
      </c>
      <c r="F13" s="21">
        <f>3200+800+12500+21576.41537</f>
        <v>38076.415370000002</v>
      </c>
      <c r="G13" s="21">
        <v>0</v>
      </c>
      <c r="H13" s="21">
        <v>0</v>
      </c>
      <c r="I13" s="21">
        <v>0</v>
      </c>
      <c r="J13" s="21">
        <f>D13+E13+F13+G13+H13+I13</f>
        <v>81363.372579999996</v>
      </c>
    </row>
    <row r="14" spans="1:10" ht="15.75" x14ac:dyDescent="0.25">
      <c r="A14" s="2">
        <v>3</v>
      </c>
      <c r="B14" s="3"/>
      <c r="C14" s="2" t="s">
        <v>7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f t="shared" ref="J14:J16" si="4">D14+E14+F14+G14+H14+I14</f>
        <v>0</v>
      </c>
    </row>
    <row r="15" spans="1:10" ht="15.75" x14ac:dyDescent="0.25">
      <c r="A15" s="2">
        <v>4</v>
      </c>
      <c r="B15" s="3"/>
      <c r="C15" s="2" t="s">
        <v>8</v>
      </c>
      <c r="D15" s="21">
        <f>1603.1+98830.5+16200+36000</f>
        <v>152633.60000000001</v>
      </c>
      <c r="E15" s="21">
        <f>41280+16200</f>
        <v>57480</v>
      </c>
      <c r="F15" s="21">
        <f>300000+517833.96897</f>
        <v>817833.96897000005</v>
      </c>
      <c r="G15" s="21">
        <v>0</v>
      </c>
      <c r="H15" s="21">
        <v>0</v>
      </c>
      <c r="I15" s="21">
        <v>0</v>
      </c>
      <c r="J15" s="21">
        <f t="shared" si="4"/>
        <v>1027947.56897</v>
      </c>
    </row>
    <row r="16" spans="1:10" ht="15.75" x14ac:dyDescent="0.25">
      <c r="A16" s="2">
        <v>5</v>
      </c>
      <c r="B16" s="3"/>
      <c r="C16" s="2" t="s">
        <v>9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f t="shared" si="4"/>
        <v>0</v>
      </c>
    </row>
    <row r="17" spans="1:11" ht="47.25" x14ac:dyDescent="0.25">
      <c r="A17" s="12">
        <v>1</v>
      </c>
      <c r="B17" s="14" t="s">
        <v>23</v>
      </c>
      <c r="C17" s="15" t="s">
        <v>17</v>
      </c>
      <c r="D17" s="50">
        <f>SUM(D18:D21)</f>
        <v>0</v>
      </c>
      <c r="E17" s="50">
        <f>SUM(E18:E21)</f>
        <v>0</v>
      </c>
      <c r="F17" s="50">
        <f t="shared" ref="F17:I17" si="5">SUM(F18:F21)</f>
        <v>0</v>
      </c>
      <c r="G17" s="50">
        <f t="shared" si="5"/>
        <v>0</v>
      </c>
      <c r="H17" s="50">
        <f t="shared" si="5"/>
        <v>0</v>
      </c>
      <c r="I17" s="50">
        <f t="shared" si="5"/>
        <v>0</v>
      </c>
      <c r="J17" s="50">
        <f>J18+J19+J20+J21</f>
        <v>0</v>
      </c>
    </row>
    <row r="18" spans="1:11" ht="15.75" x14ac:dyDescent="0.25">
      <c r="A18" s="12">
        <v>2</v>
      </c>
      <c r="B18" s="11"/>
      <c r="C18" s="12" t="s">
        <v>6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f>D18+E18+F18+G18+H18+I18</f>
        <v>0</v>
      </c>
    </row>
    <row r="19" spans="1:11" ht="15.75" x14ac:dyDescent="0.25">
      <c r="A19" s="12">
        <v>3</v>
      </c>
      <c r="B19" s="11"/>
      <c r="C19" s="12" t="s">
        <v>7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f t="shared" ref="J19:J21" si="6">D19+E19+F19+G19+H19+I19</f>
        <v>0</v>
      </c>
    </row>
    <row r="20" spans="1:11" ht="15.75" x14ac:dyDescent="0.25">
      <c r="A20" s="12">
        <v>4</v>
      </c>
      <c r="B20" s="11"/>
      <c r="C20" s="12" t="s">
        <v>8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f t="shared" si="6"/>
        <v>0</v>
      </c>
    </row>
    <row r="21" spans="1:11" ht="15.75" x14ac:dyDescent="0.25">
      <c r="A21" s="12">
        <v>5</v>
      </c>
      <c r="B21" s="11"/>
      <c r="C21" s="12" t="s">
        <v>9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f t="shared" si="6"/>
        <v>0</v>
      </c>
    </row>
    <row r="22" spans="1:11" ht="47.25" x14ac:dyDescent="0.25">
      <c r="A22" s="8">
        <v>1</v>
      </c>
      <c r="B22" s="14" t="s">
        <v>20</v>
      </c>
      <c r="C22" s="15" t="s">
        <v>17</v>
      </c>
      <c r="D22" s="50">
        <f>SUM(D23:D26)</f>
        <v>24524.289349999999</v>
      </c>
      <c r="E22" s="50">
        <f>SUM(E23:E26)</f>
        <v>28401.06667</v>
      </c>
      <c r="F22" s="50">
        <f t="shared" ref="F22:I22" si="7">SUM(F23:F26)</f>
        <v>27359.400020000001</v>
      </c>
      <c r="G22" s="50">
        <f t="shared" si="7"/>
        <v>0</v>
      </c>
      <c r="H22" s="50">
        <f t="shared" si="7"/>
        <v>0</v>
      </c>
      <c r="I22" s="50">
        <f t="shared" si="7"/>
        <v>0</v>
      </c>
      <c r="J22" s="50">
        <f>J23+J24+J25+J26</f>
        <v>80284.756040000007</v>
      </c>
      <c r="K22" s="10"/>
    </row>
    <row r="23" spans="1:11" ht="15.75" x14ac:dyDescent="0.25">
      <c r="A23" s="8">
        <v>2</v>
      </c>
      <c r="B23" s="7"/>
      <c r="C23" s="8" t="s">
        <v>6</v>
      </c>
      <c r="D23" s="20">
        <f>1264.333+1285.667+2.07685+275.11286+3991.82047+184.17917+300</f>
        <v>7303.1893500000006</v>
      </c>
      <c r="E23" s="20">
        <f>1900+800+4266.93333+333.33334+300</f>
        <v>7600.26667</v>
      </c>
      <c r="F23" s="20">
        <f>1900+800+4266.93333+291.66669+300</f>
        <v>7558.6000199999999</v>
      </c>
      <c r="G23" s="20">
        <v>0</v>
      </c>
      <c r="H23" s="20">
        <v>0</v>
      </c>
      <c r="I23" s="20">
        <v>0</v>
      </c>
      <c r="J23" s="20">
        <f>D23+E23+F23+G23+H23+I23</f>
        <v>22462.056040000003</v>
      </c>
    </row>
    <row r="24" spans="1:11" ht="15.75" x14ac:dyDescent="0.25">
      <c r="A24" s="8">
        <v>3</v>
      </c>
      <c r="B24" s="7"/>
      <c r="C24" s="8" t="s">
        <v>7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f t="shared" ref="J24:J26" si="8">D24+E24+F24+G24+H24+I24</f>
        <v>0</v>
      </c>
    </row>
    <row r="25" spans="1:11" ht="15.75" x14ac:dyDescent="0.25">
      <c r="A25" s="8">
        <v>4</v>
      </c>
      <c r="B25" s="7"/>
      <c r="C25" s="8" t="s">
        <v>8</v>
      </c>
      <c r="D25" s="20">
        <f>825.33859+11975.46141+4420.3</f>
        <v>17221.099999999999</v>
      </c>
      <c r="E25" s="20">
        <f>12800.8+8000</f>
        <v>20800.8</v>
      </c>
      <c r="F25" s="20">
        <f>12800.8+7000</f>
        <v>19800.8</v>
      </c>
      <c r="G25" s="20"/>
      <c r="H25" s="20">
        <v>0</v>
      </c>
      <c r="I25" s="20">
        <v>0</v>
      </c>
      <c r="J25" s="20">
        <f t="shared" si="8"/>
        <v>57822.7</v>
      </c>
    </row>
    <row r="26" spans="1:11" ht="15.75" x14ac:dyDescent="0.25">
      <c r="A26" s="8">
        <v>5</v>
      </c>
      <c r="B26" s="7"/>
      <c r="C26" s="8" t="s">
        <v>9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f t="shared" si="8"/>
        <v>0</v>
      </c>
    </row>
    <row r="27" spans="1:11" ht="47.25" x14ac:dyDescent="0.25">
      <c r="A27" s="8">
        <v>1</v>
      </c>
      <c r="B27" s="14" t="s">
        <v>21</v>
      </c>
      <c r="C27" s="15" t="s">
        <v>17</v>
      </c>
      <c r="D27" s="50">
        <f>SUM(D28:D31)</f>
        <v>2960</v>
      </c>
      <c r="E27" s="50">
        <f t="shared" ref="E27:I27" si="9">SUM(E28:E31)</f>
        <v>3675</v>
      </c>
      <c r="F27" s="50">
        <f t="shared" si="9"/>
        <v>3675</v>
      </c>
      <c r="G27" s="50">
        <f t="shared" si="9"/>
        <v>0</v>
      </c>
      <c r="H27" s="50">
        <f t="shared" si="9"/>
        <v>0</v>
      </c>
      <c r="I27" s="50">
        <f t="shared" si="9"/>
        <v>0</v>
      </c>
      <c r="J27" s="50">
        <f>J28+J29+J30+J31</f>
        <v>10310</v>
      </c>
    </row>
    <row r="28" spans="1:11" ht="15.75" x14ac:dyDescent="0.25">
      <c r="A28" s="8">
        <v>2</v>
      </c>
      <c r="B28" s="7"/>
      <c r="C28" s="8" t="s">
        <v>6</v>
      </c>
      <c r="D28" s="20">
        <f>140+220+650</f>
        <v>1010</v>
      </c>
      <c r="E28" s="20">
        <f>230+220+650+25</f>
        <v>1125</v>
      </c>
      <c r="F28" s="20">
        <f>230+220+650+25</f>
        <v>1125</v>
      </c>
      <c r="G28" s="20">
        <v>0</v>
      </c>
      <c r="H28" s="20">
        <v>0</v>
      </c>
      <c r="I28" s="20">
        <v>0</v>
      </c>
      <c r="J28" s="18">
        <f>D28+E28+F28+G28+H28+I28</f>
        <v>3260</v>
      </c>
    </row>
    <row r="29" spans="1:11" ht="15.75" x14ac:dyDescent="0.25">
      <c r="A29" s="8">
        <v>3</v>
      </c>
      <c r="B29" s="7"/>
      <c r="C29" s="8" t="s">
        <v>7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18">
        <f t="shared" ref="J29:J31" si="10">D29+E29+F29+G29+H29+I29</f>
        <v>0</v>
      </c>
    </row>
    <row r="30" spans="1:11" ht="15.75" x14ac:dyDescent="0.25">
      <c r="A30" s="8">
        <v>4</v>
      </c>
      <c r="B30" s="7"/>
      <c r="C30" s="8" t="s">
        <v>8</v>
      </c>
      <c r="D30" s="20">
        <f>1950</f>
        <v>1950</v>
      </c>
      <c r="E30" s="20">
        <f>1950+600</f>
        <v>2550</v>
      </c>
      <c r="F30" s="20">
        <f>1950+600</f>
        <v>2550</v>
      </c>
      <c r="G30" s="20">
        <v>0</v>
      </c>
      <c r="H30" s="20">
        <v>0</v>
      </c>
      <c r="I30" s="20">
        <v>0</v>
      </c>
      <c r="J30" s="18">
        <f t="shared" si="10"/>
        <v>7050</v>
      </c>
    </row>
    <row r="31" spans="1:11" ht="15.75" x14ac:dyDescent="0.25">
      <c r="A31" s="8">
        <v>5</v>
      </c>
      <c r="B31" s="7"/>
      <c r="C31" s="8" t="s">
        <v>9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18">
        <f t="shared" si="10"/>
        <v>0</v>
      </c>
    </row>
    <row r="32" spans="1:11" ht="47.25" x14ac:dyDescent="0.25">
      <c r="A32" s="8">
        <v>1</v>
      </c>
      <c r="B32" s="14" t="s">
        <v>15</v>
      </c>
      <c r="C32" s="15" t="s">
        <v>17</v>
      </c>
      <c r="D32" s="50">
        <f>SUM(D33:D36)</f>
        <v>1200</v>
      </c>
      <c r="E32" s="50">
        <f t="shared" ref="E32:I32" si="11">SUM(E33:E36)</f>
        <v>2341.6666700000001</v>
      </c>
      <c r="F32" s="50">
        <f t="shared" si="11"/>
        <v>1508.3333299999999</v>
      </c>
      <c r="G32" s="50">
        <f t="shared" si="11"/>
        <v>0</v>
      </c>
      <c r="H32" s="50">
        <f t="shared" si="11"/>
        <v>0</v>
      </c>
      <c r="I32" s="50">
        <f t="shared" si="11"/>
        <v>0</v>
      </c>
      <c r="J32" s="50">
        <f>J33+J34+J35+J36</f>
        <v>5050</v>
      </c>
    </row>
    <row r="33" spans="1:10" ht="15.75" x14ac:dyDescent="0.25">
      <c r="A33" s="8">
        <v>2</v>
      </c>
      <c r="B33" s="7"/>
      <c r="C33" s="8" t="s">
        <v>6</v>
      </c>
      <c r="D33" s="20">
        <f>150+100+237.5</f>
        <v>487.5</v>
      </c>
      <c r="E33" s="20">
        <f>250+100+237.5+41.66667</f>
        <v>629.16666999999995</v>
      </c>
      <c r="F33" s="20">
        <f>250+100+237.5+8.33333</f>
        <v>595.83333000000005</v>
      </c>
      <c r="G33" s="20">
        <v>0</v>
      </c>
      <c r="H33" s="20">
        <v>0</v>
      </c>
      <c r="I33" s="20">
        <v>0</v>
      </c>
      <c r="J33" s="20">
        <f>D33+E33+F33+G33+H33+I33</f>
        <v>1712.5</v>
      </c>
    </row>
    <row r="34" spans="1:10" ht="15.75" x14ac:dyDescent="0.25">
      <c r="A34" s="8">
        <v>3</v>
      </c>
      <c r="B34" s="7"/>
      <c r="C34" s="8" t="s">
        <v>7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f t="shared" ref="J34:J36" si="12">D34+E34+F34+G34+H34+I34</f>
        <v>0</v>
      </c>
    </row>
    <row r="35" spans="1:10" ht="15.75" x14ac:dyDescent="0.25">
      <c r="A35" s="8">
        <v>4</v>
      </c>
      <c r="B35" s="7"/>
      <c r="C35" s="8" t="s">
        <v>8</v>
      </c>
      <c r="D35" s="20">
        <f>712.5</f>
        <v>712.5</v>
      </c>
      <c r="E35" s="20">
        <f>712.5+1000</f>
        <v>1712.5</v>
      </c>
      <c r="F35" s="20">
        <f>712.5+200</f>
        <v>912.5</v>
      </c>
      <c r="G35" s="20">
        <v>0</v>
      </c>
      <c r="H35" s="20">
        <v>0</v>
      </c>
      <c r="I35" s="20">
        <v>0</v>
      </c>
      <c r="J35" s="20">
        <f t="shared" si="12"/>
        <v>3337.5</v>
      </c>
    </row>
    <row r="36" spans="1:10" ht="15.75" x14ac:dyDescent="0.25">
      <c r="A36" s="8">
        <v>5</v>
      </c>
      <c r="B36" s="7"/>
      <c r="C36" s="8" t="s">
        <v>9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f t="shared" si="12"/>
        <v>0</v>
      </c>
    </row>
    <row r="37" spans="1:10" ht="47.25" x14ac:dyDescent="0.25">
      <c r="A37" s="8">
        <v>1</v>
      </c>
      <c r="B37" s="14" t="s">
        <v>14</v>
      </c>
      <c r="C37" s="15" t="s">
        <v>17</v>
      </c>
      <c r="D37" s="50">
        <f>SUM(D38:D41)</f>
        <v>848</v>
      </c>
      <c r="E37" s="50">
        <f t="shared" ref="E37:I37" si="13">SUM(E38:E41)</f>
        <v>1195</v>
      </c>
      <c r="F37" s="50">
        <f t="shared" si="13"/>
        <v>778.33332999999993</v>
      </c>
      <c r="G37" s="50">
        <f t="shared" si="13"/>
        <v>0</v>
      </c>
      <c r="H37" s="50">
        <f t="shared" si="13"/>
        <v>0</v>
      </c>
      <c r="I37" s="50">
        <f t="shared" si="13"/>
        <v>0</v>
      </c>
      <c r="J37" s="50">
        <f>J38+J39+J40+J41</f>
        <v>2821.3333299999999</v>
      </c>
    </row>
    <row r="38" spans="1:10" ht="15.75" x14ac:dyDescent="0.25">
      <c r="A38" s="8">
        <v>2</v>
      </c>
      <c r="B38" s="7"/>
      <c r="C38" s="8" t="s">
        <v>6</v>
      </c>
      <c r="D38" s="20">
        <f>233.81709+144.18291+117.5</f>
        <v>495.5</v>
      </c>
      <c r="E38" s="20">
        <f>70+30+117.5+25</f>
        <v>242.5</v>
      </c>
      <c r="F38" s="20">
        <f>70+30+117.5+8.33333</f>
        <v>225.83332999999999</v>
      </c>
      <c r="G38" s="20">
        <v>0</v>
      </c>
      <c r="H38" s="20">
        <v>0</v>
      </c>
      <c r="I38" s="20">
        <v>0</v>
      </c>
      <c r="J38" s="20">
        <f>D38+E38+F38+G38+H38+I38</f>
        <v>963.83332999999993</v>
      </c>
    </row>
    <row r="39" spans="1:10" ht="15.75" x14ac:dyDescent="0.25">
      <c r="A39" s="8">
        <v>3</v>
      </c>
      <c r="B39" s="7"/>
      <c r="C39" s="8" t="s">
        <v>7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f t="shared" ref="J39:J41" si="14">D39+E39+F39+G39+H39+I39</f>
        <v>0</v>
      </c>
    </row>
    <row r="40" spans="1:10" ht="15.75" x14ac:dyDescent="0.25">
      <c r="A40" s="8">
        <v>4</v>
      </c>
      <c r="B40" s="7"/>
      <c r="C40" s="8" t="s">
        <v>8</v>
      </c>
      <c r="D40" s="20">
        <f>352.5</f>
        <v>352.5</v>
      </c>
      <c r="E40" s="20">
        <f>352.5+600</f>
        <v>952.5</v>
      </c>
      <c r="F40" s="20">
        <f>352.5+200</f>
        <v>552.5</v>
      </c>
      <c r="G40" s="20">
        <v>0</v>
      </c>
      <c r="H40" s="20">
        <v>0</v>
      </c>
      <c r="I40" s="20">
        <v>0</v>
      </c>
      <c r="J40" s="20">
        <f t="shared" si="14"/>
        <v>1857.5</v>
      </c>
    </row>
    <row r="41" spans="1:10" ht="15.75" x14ac:dyDescent="0.25">
      <c r="A41" s="8">
        <v>5</v>
      </c>
      <c r="B41" s="7"/>
      <c r="C41" s="8" t="s">
        <v>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f t="shared" si="14"/>
        <v>0</v>
      </c>
    </row>
    <row r="42" spans="1:10" ht="47.25" x14ac:dyDescent="0.25">
      <c r="A42" s="8">
        <v>1</v>
      </c>
      <c r="B42" s="14" t="s">
        <v>13</v>
      </c>
      <c r="C42" s="15" t="s">
        <v>17</v>
      </c>
      <c r="D42" s="50">
        <f>SUM(D43:D46)</f>
        <v>790</v>
      </c>
      <c r="E42" s="50">
        <f t="shared" ref="E42:I42" si="15">SUM(E43:E46)</f>
        <v>1355.5208300000002</v>
      </c>
      <c r="F42" s="50">
        <f t="shared" si="15"/>
        <v>923.95833000000005</v>
      </c>
      <c r="G42" s="50">
        <f t="shared" si="15"/>
        <v>0</v>
      </c>
      <c r="H42" s="50">
        <f t="shared" si="15"/>
        <v>0</v>
      </c>
      <c r="I42" s="50">
        <f t="shared" si="15"/>
        <v>0</v>
      </c>
      <c r="J42" s="50">
        <f>J43+J44+J45+J46</f>
        <v>3069.4791599999999</v>
      </c>
    </row>
    <row r="43" spans="1:10" ht="15.75" x14ac:dyDescent="0.25">
      <c r="A43" s="8">
        <v>2</v>
      </c>
      <c r="B43" s="16"/>
      <c r="C43" s="8" t="s">
        <v>6</v>
      </c>
      <c r="D43" s="20">
        <f>50+50+172.5</f>
        <v>272.5</v>
      </c>
      <c r="E43" s="20">
        <f>50+50+172.5+22.62083</f>
        <v>295.12083000000001</v>
      </c>
      <c r="F43" s="20">
        <f>50+50+172.5+5.35833</f>
        <v>277.85833000000002</v>
      </c>
      <c r="G43" s="20">
        <v>0</v>
      </c>
      <c r="H43" s="20">
        <v>0</v>
      </c>
      <c r="I43" s="20">
        <v>0</v>
      </c>
      <c r="J43" s="20">
        <f>D43+E43+F43+G43+H43+I43</f>
        <v>845.47916000000009</v>
      </c>
    </row>
    <row r="44" spans="1:10" ht="15.75" x14ac:dyDescent="0.25">
      <c r="A44" s="8">
        <v>3</v>
      </c>
      <c r="B44" s="16"/>
      <c r="C44" s="8" t="s">
        <v>7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f t="shared" ref="J44:J46" si="16">D44+E44+F44+G44+H44+I44</f>
        <v>0</v>
      </c>
    </row>
    <row r="45" spans="1:10" ht="15.75" x14ac:dyDescent="0.25">
      <c r="A45" s="8">
        <v>4</v>
      </c>
      <c r="B45" s="16"/>
      <c r="C45" s="8" t="s">
        <v>8</v>
      </c>
      <c r="D45" s="20">
        <f>517.5</f>
        <v>517.5</v>
      </c>
      <c r="E45" s="20">
        <f>517.5+542.9</f>
        <v>1060.4000000000001</v>
      </c>
      <c r="F45" s="20">
        <f>517.5+128.6</f>
        <v>646.1</v>
      </c>
      <c r="G45" s="20">
        <v>0</v>
      </c>
      <c r="H45" s="20">
        <v>0</v>
      </c>
      <c r="I45" s="20">
        <v>0</v>
      </c>
      <c r="J45" s="20">
        <f t="shared" si="16"/>
        <v>2224</v>
      </c>
    </row>
    <row r="46" spans="1:10" ht="15.75" x14ac:dyDescent="0.25">
      <c r="A46" s="8">
        <v>5</v>
      </c>
      <c r="B46" s="16"/>
      <c r="C46" s="8" t="s">
        <v>9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f t="shared" si="16"/>
        <v>0</v>
      </c>
    </row>
    <row r="47" spans="1:10" ht="47.25" x14ac:dyDescent="0.25">
      <c r="A47" s="8">
        <v>1</v>
      </c>
      <c r="B47" s="14" t="s">
        <v>12</v>
      </c>
      <c r="C47" s="15" t="s">
        <v>17</v>
      </c>
      <c r="D47" s="50">
        <f>SUM(D48:D51)</f>
        <v>998.5</v>
      </c>
      <c r="E47" s="50">
        <f t="shared" ref="E47:I47" si="17">SUM(E48:E51)</f>
        <v>1259.3333299999999</v>
      </c>
      <c r="F47" s="50">
        <f t="shared" si="17"/>
        <v>946.83332999999993</v>
      </c>
      <c r="G47" s="50">
        <f t="shared" si="17"/>
        <v>0</v>
      </c>
      <c r="H47" s="50">
        <f t="shared" si="17"/>
        <v>0</v>
      </c>
      <c r="I47" s="50">
        <f t="shared" si="17"/>
        <v>0</v>
      </c>
      <c r="J47" s="50">
        <f>J48+J49+J50+J51</f>
        <v>3204.6666599999999</v>
      </c>
    </row>
    <row r="48" spans="1:10" ht="15.75" x14ac:dyDescent="0.25">
      <c r="A48" s="8">
        <v>2</v>
      </c>
      <c r="B48" s="16"/>
      <c r="C48" s="8" t="s">
        <v>6</v>
      </c>
      <c r="D48" s="20">
        <f>260+48.5+172.5</f>
        <v>481</v>
      </c>
      <c r="E48" s="20">
        <f>48.5+172.5+20.83333</f>
        <v>241.83332999999999</v>
      </c>
      <c r="F48" s="20">
        <f>48.5+172.5+8.33333</f>
        <v>229.33332999999999</v>
      </c>
      <c r="G48" s="20">
        <v>0</v>
      </c>
      <c r="H48" s="20">
        <v>0</v>
      </c>
      <c r="I48" s="20">
        <v>0</v>
      </c>
      <c r="J48" s="20">
        <f>D48+E48+F48+G48+H48+I48</f>
        <v>952.16665999999987</v>
      </c>
    </row>
    <row r="49" spans="1:10" ht="15.75" x14ac:dyDescent="0.25">
      <c r="A49" s="8">
        <v>3</v>
      </c>
      <c r="B49" s="16"/>
      <c r="C49" s="8" t="s">
        <v>7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f t="shared" ref="J49:J51" si="18">D49+E49+F49+G49+H49+I49</f>
        <v>0</v>
      </c>
    </row>
    <row r="50" spans="1:10" ht="15.75" x14ac:dyDescent="0.25">
      <c r="A50" s="8">
        <v>4</v>
      </c>
      <c r="B50" s="16"/>
      <c r="C50" s="8" t="s">
        <v>8</v>
      </c>
      <c r="D50" s="20">
        <f>517.5</f>
        <v>517.5</v>
      </c>
      <c r="E50" s="20">
        <f>517.5+500</f>
        <v>1017.5</v>
      </c>
      <c r="F50" s="20">
        <f>517.5+200</f>
        <v>717.5</v>
      </c>
      <c r="G50" s="20">
        <v>0</v>
      </c>
      <c r="H50" s="20">
        <v>0</v>
      </c>
      <c r="I50" s="20">
        <v>0</v>
      </c>
      <c r="J50" s="20">
        <f t="shared" si="18"/>
        <v>2252.5</v>
      </c>
    </row>
    <row r="51" spans="1:10" ht="15.75" x14ac:dyDescent="0.25">
      <c r="A51" s="8">
        <v>5</v>
      </c>
      <c r="B51" s="16"/>
      <c r="C51" s="8" t="s">
        <v>9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f t="shared" si="18"/>
        <v>0</v>
      </c>
    </row>
    <row r="52" spans="1:10" ht="47.25" x14ac:dyDescent="0.25">
      <c r="A52" s="8">
        <v>1</v>
      </c>
      <c r="B52" s="14" t="s">
        <v>11</v>
      </c>
      <c r="C52" s="15" t="s">
        <v>17</v>
      </c>
      <c r="D52" s="50">
        <f>SUM(D53:D56)</f>
        <v>569</v>
      </c>
      <c r="E52" s="50">
        <f t="shared" ref="E52:I52" si="19">SUM(E53:E56)</f>
        <v>1124.8333299999999</v>
      </c>
      <c r="F52" s="50">
        <f t="shared" si="19"/>
        <v>812.33332999999993</v>
      </c>
      <c r="G52" s="50">
        <f t="shared" si="19"/>
        <v>0</v>
      </c>
      <c r="H52" s="50">
        <f t="shared" si="19"/>
        <v>0</v>
      </c>
      <c r="I52" s="50">
        <f t="shared" si="19"/>
        <v>0</v>
      </c>
      <c r="J52" s="50">
        <f>J53+J54+J55+J56</f>
        <v>2506.1666599999999</v>
      </c>
    </row>
    <row r="53" spans="1:10" ht="15.75" x14ac:dyDescent="0.25">
      <c r="A53" s="8">
        <v>2</v>
      </c>
      <c r="B53" s="16"/>
      <c r="C53" s="8" t="s">
        <v>6</v>
      </c>
      <c r="D53" s="20">
        <f>34.74209+44.25791+122.5</f>
        <v>201.5</v>
      </c>
      <c r="E53" s="20">
        <f>85+29+122.5+20.83333</f>
        <v>257.33332999999999</v>
      </c>
      <c r="F53" s="20">
        <f>85+29+122.5+8.33333</f>
        <v>244.83332999999999</v>
      </c>
      <c r="G53" s="20">
        <v>0</v>
      </c>
      <c r="H53" s="20">
        <v>0</v>
      </c>
      <c r="I53" s="20">
        <v>0</v>
      </c>
      <c r="J53" s="20">
        <f>D53+E53+F53+G53+H53+I53</f>
        <v>703.66665999999998</v>
      </c>
    </row>
    <row r="54" spans="1:10" ht="15.75" x14ac:dyDescent="0.25">
      <c r="A54" s="8">
        <v>3</v>
      </c>
      <c r="B54" s="16"/>
      <c r="C54" s="8" t="s">
        <v>7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f t="shared" ref="J54:J56" si="20">D54+E54+F54+G54+H54+I54</f>
        <v>0</v>
      </c>
    </row>
    <row r="55" spans="1:10" ht="15.75" x14ac:dyDescent="0.25">
      <c r="A55" s="8">
        <v>4</v>
      </c>
      <c r="B55" s="16"/>
      <c r="C55" s="8" t="s">
        <v>8</v>
      </c>
      <c r="D55" s="20">
        <f>367.5</f>
        <v>367.5</v>
      </c>
      <c r="E55" s="20">
        <f>367.5+500</f>
        <v>867.5</v>
      </c>
      <c r="F55" s="20">
        <f>367.5+200</f>
        <v>567.5</v>
      </c>
      <c r="G55" s="20">
        <v>0</v>
      </c>
      <c r="H55" s="20">
        <v>0</v>
      </c>
      <c r="I55" s="20">
        <v>0</v>
      </c>
      <c r="J55" s="20">
        <f t="shared" si="20"/>
        <v>1802.5</v>
      </c>
    </row>
    <row r="56" spans="1:10" ht="15.75" x14ac:dyDescent="0.25">
      <c r="A56" s="8">
        <v>5</v>
      </c>
      <c r="B56" s="16"/>
      <c r="C56" s="8" t="s">
        <v>9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f t="shared" si="20"/>
        <v>0</v>
      </c>
    </row>
    <row r="57" spans="1:10" ht="47.25" x14ac:dyDescent="0.25">
      <c r="A57" s="8">
        <v>1</v>
      </c>
      <c r="B57" s="14" t="s">
        <v>10</v>
      </c>
      <c r="C57" s="15" t="s">
        <v>17</v>
      </c>
      <c r="D57" s="50">
        <f>SUM(D58:D61)</f>
        <v>1867.5</v>
      </c>
      <c r="E57" s="50">
        <f t="shared" ref="E57:I57" si="21">SUM(E58:E61)</f>
        <v>2921.6666700000001</v>
      </c>
      <c r="F57" s="50">
        <f t="shared" si="21"/>
        <v>2088.3333299999999</v>
      </c>
      <c r="G57" s="50">
        <f t="shared" si="21"/>
        <v>0</v>
      </c>
      <c r="H57" s="50">
        <f t="shared" si="21"/>
        <v>0</v>
      </c>
      <c r="I57" s="50">
        <f t="shared" si="21"/>
        <v>0</v>
      </c>
      <c r="J57" s="50">
        <f>J58+J59+J60+J61</f>
        <v>6877.5</v>
      </c>
    </row>
    <row r="58" spans="1:10" ht="15.75" x14ac:dyDescent="0.25">
      <c r="A58" s="8">
        <v>2</v>
      </c>
      <c r="B58" s="16"/>
      <c r="C58" s="8" t="s">
        <v>6</v>
      </c>
      <c r="D58" s="20">
        <f>324.37753+111.43587+1.6866+357.5</f>
        <v>795</v>
      </c>
      <c r="E58" s="20">
        <f>349+101+357.5+41.66667</f>
        <v>849.16666999999995</v>
      </c>
      <c r="F58" s="20">
        <f>349+101+357.5+8.33333</f>
        <v>815.83333000000005</v>
      </c>
      <c r="G58" s="20">
        <v>0</v>
      </c>
      <c r="H58" s="20">
        <v>0</v>
      </c>
      <c r="I58" s="20">
        <v>0</v>
      </c>
      <c r="J58" s="20">
        <f>D58+E58+F58+G58+H58+I58</f>
        <v>2460</v>
      </c>
    </row>
    <row r="59" spans="1:10" ht="15.75" x14ac:dyDescent="0.25">
      <c r="A59" s="8">
        <v>3</v>
      </c>
      <c r="B59" s="16"/>
      <c r="C59" s="8" t="s">
        <v>7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f t="shared" ref="J59:J61" si="22">D59+E59+F59+G59+H59+I59</f>
        <v>0</v>
      </c>
    </row>
    <row r="60" spans="1:10" ht="15.75" x14ac:dyDescent="0.25">
      <c r="A60" s="8">
        <v>4</v>
      </c>
      <c r="B60" s="16"/>
      <c r="C60" s="8" t="s">
        <v>8</v>
      </c>
      <c r="D60" s="20">
        <f>1072.5</f>
        <v>1072.5</v>
      </c>
      <c r="E60" s="20">
        <f>1072.5+1000</f>
        <v>2072.5</v>
      </c>
      <c r="F60" s="20">
        <f>1072.5+200</f>
        <v>1272.5</v>
      </c>
      <c r="G60" s="20">
        <v>0</v>
      </c>
      <c r="H60" s="20">
        <v>0</v>
      </c>
      <c r="I60" s="20">
        <v>0</v>
      </c>
      <c r="J60" s="20">
        <f t="shared" si="22"/>
        <v>4417.5</v>
      </c>
    </row>
    <row r="61" spans="1:10" ht="15.75" x14ac:dyDescent="0.25">
      <c r="A61" s="8">
        <v>5</v>
      </c>
      <c r="B61" s="16"/>
      <c r="C61" s="8" t="s">
        <v>9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f t="shared" si="22"/>
        <v>0</v>
      </c>
    </row>
    <row r="62" spans="1:10" ht="47.25" x14ac:dyDescent="0.25">
      <c r="A62" s="8">
        <v>1</v>
      </c>
      <c r="B62" s="14" t="s">
        <v>22</v>
      </c>
      <c r="C62" s="15" t="s">
        <v>17</v>
      </c>
      <c r="D62" s="50">
        <f>SUM(D63:D66)</f>
        <v>604.5</v>
      </c>
      <c r="E62" s="50">
        <f t="shared" ref="E62:I62" si="23">SUM(E63:E66)</f>
        <v>860.02082999999993</v>
      </c>
      <c r="F62" s="50">
        <f t="shared" si="23"/>
        <v>428.45833000000005</v>
      </c>
      <c r="G62" s="50">
        <f t="shared" si="23"/>
        <v>0</v>
      </c>
      <c r="H62" s="50">
        <f t="shared" si="23"/>
        <v>0</v>
      </c>
      <c r="I62" s="50">
        <f t="shared" si="23"/>
        <v>0</v>
      </c>
      <c r="J62" s="50">
        <f>J63+J64+J65+J66</f>
        <v>1892.9791600000001</v>
      </c>
    </row>
    <row r="63" spans="1:10" ht="15.75" x14ac:dyDescent="0.25">
      <c r="A63" s="8">
        <v>2</v>
      </c>
      <c r="B63" s="16"/>
      <c r="C63" s="8" t="s">
        <v>6</v>
      </c>
      <c r="D63" s="20">
        <f>219.25649+205.24351+45</f>
        <v>469.5</v>
      </c>
      <c r="E63" s="20">
        <f>100+14.5+45+22.62083</f>
        <v>182.12083000000001</v>
      </c>
      <c r="F63" s="20">
        <f>100+14.5+45+5.35833</f>
        <v>164.85833</v>
      </c>
      <c r="G63" s="20">
        <v>0</v>
      </c>
      <c r="H63" s="20">
        <v>0</v>
      </c>
      <c r="I63" s="20">
        <v>0</v>
      </c>
      <c r="J63" s="20">
        <f>D63+E63+F63+G63+H63+I63</f>
        <v>816.47916000000009</v>
      </c>
    </row>
    <row r="64" spans="1:10" ht="15.75" x14ac:dyDescent="0.25">
      <c r="A64" s="8">
        <v>3</v>
      </c>
      <c r="B64" s="16"/>
      <c r="C64" s="8" t="s">
        <v>7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f t="shared" ref="J64:J66" si="24">D64+E64+F64+G64+H64+I64</f>
        <v>0</v>
      </c>
    </row>
    <row r="65" spans="1:10" ht="15.75" x14ac:dyDescent="0.25">
      <c r="A65" s="8">
        <v>4</v>
      </c>
      <c r="B65" s="16"/>
      <c r="C65" s="8" t="s">
        <v>8</v>
      </c>
      <c r="D65" s="20">
        <f>135</f>
        <v>135</v>
      </c>
      <c r="E65" s="20">
        <f>135+542.9</f>
        <v>677.9</v>
      </c>
      <c r="F65" s="20">
        <f>135+128.6</f>
        <v>263.60000000000002</v>
      </c>
      <c r="G65" s="20">
        <v>0</v>
      </c>
      <c r="H65" s="20">
        <v>0</v>
      </c>
      <c r="I65" s="20">
        <v>0</v>
      </c>
      <c r="J65" s="20">
        <f t="shared" si="24"/>
        <v>1076.5</v>
      </c>
    </row>
    <row r="66" spans="1:10" ht="15.75" x14ac:dyDescent="0.25">
      <c r="A66" s="8">
        <v>5</v>
      </c>
      <c r="B66" s="16"/>
      <c r="C66" s="8" t="s">
        <v>9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f t="shared" si="24"/>
        <v>0</v>
      </c>
    </row>
    <row r="67" spans="1:10" ht="48" customHeight="1" x14ac:dyDescent="0.25">
      <c r="A67" s="23">
        <v>1</v>
      </c>
      <c r="B67" s="51" t="s">
        <v>24</v>
      </c>
      <c r="C67" s="23" t="s">
        <v>17</v>
      </c>
      <c r="D67" s="20">
        <f>SUM(D68:D79)</f>
        <v>3603.1</v>
      </c>
      <c r="E67" s="20">
        <f>SUM(E68:E79)</f>
        <v>4000</v>
      </c>
      <c r="F67" s="20">
        <f>F68+F69+F70+F72</f>
        <v>4000</v>
      </c>
      <c r="G67" s="20">
        <f>G68+G69+G70+G71</f>
        <v>0</v>
      </c>
      <c r="H67" s="20">
        <f>H68+H69+H70+H71</f>
        <v>0</v>
      </c>
      <c r="I67" s="20">
        <f>I68+I69+I70+I71</f>
        <v>0</v>
      </c>
      <c r="J67" s="20">
        <f>SUM(J68:J79)</f>
        <v>11603.1</v>
      </c>
    </row>
    <row r="68" spans="1:10" ht="15.75" customHeight="1" x14ac:dyDescent="0.25">
      <c r="A68" s="23">
        <v>2</v>
      </c>
      <c r="B68" s="30" t="s">
        <v>30</v>
      </c>
      <c r="C68" s="23" t="s">
        <v>6</v>
      </c>
      <c r="D68" s="20">
        <v>1600</v>
      </c>
      <c r="E68" s="20">
        <v>3200</v>
      </c>
      <c r="F68" s="20">
        <v>3200</v>
      </c>
      <c r="G68" s="20">
        <v>0</v>
      </c>
      <c r="H68" s="20">
        <v>0</v>
      </c>
      <c r="I68" s="20">
        <v>0</v>
      </c>
      <c r="J68" s="20">
        <f>D68+E68+F68+G68+H68+I68</f>
        <v>8000</v>
      </c>
    </row>
    <row r="69" spans="1:10" ht="15.75" customHeight="1" x14ac:dyDescent="0.25">
      <c r="A69" s="23">
        <v>3</v>
      </c>
      <c r="B69" s="31"/>
      <c r="C69" s="23" t="s">
        <v>7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f t="shared" ref="J69:J71" si="25">D69+E69+F69+G69+H69+I69</f>
        <v>0</v>
      </c>
    </row>
    <row r="70" spans="1:10" ht="15.75" customHeight="1" x14ac:dyDescent="0.25">
      <c r="A70" s="23">
        <v>4</v>
      </c>
      <c r="B70" s="31"/>
      <c r="C70" s="23" t="s">
        <v>8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f t="shared" si="25"/>
        <v>0</v>
      </c>
    </row>
    <row r="71" spans="1:10" ht="15.75" customHeight="1" x14ac:dyDescent="0.25">
      <c r="A71" s="23">
        <v>5</v>
      </c>
      <c r="B71" s="32"/>
      <c r="C71" s="23" t="s">
        <v>9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f t="shared" si="25"/>
        <v>0</v>
      </c>
    </row>
    <row r="72" spans="1:10" ht="15.75" x14ac:dyDescent="0.25">
      <c r="A72" s="23">
        <v>1</v>
      </c>
      <c r="B72" s="30" t="s">
        <v>31</v>
      </c>
      <c r="C72" s="23" t="s">
        <v>6</v>
      </c>
      <c r="D72" s="20">
        <v>400</v>
      </c>
      <c r="E72" s="20">
        <v>800</v>
      </c>
      <c r="F72" s="20">
        <v>800</v>
      </c>
      <c r="G72" s="20">
        <v>0</v>
      </c>
      <c r="H72" s="20">
        <v>0</v>
      </c>
      <c r="I72" s="20">
        <v>0</v>
      </c>
      <c r="J72" s="20">
        <f>D72+E72+F72+G72+H72+I72</f>
        <v>2000</v>
      </c>
    </row>
    <row r="73" spans="1:10" ht="15.75" x14ac:dyDescent="0.25">
      <c r="A73" s="23">
        <v>2</v>
      </c>
      <c r="B73" s="31"/>
      <c r="C73" s="23" t="s">
        <v>7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f t="shared" ref="J73:J75" si="26">D73+E73+F73+G73+H73+I73</f>
        <v>0</v>
      </c>
    </row>
    <row r="74" spans="1:10" ht="15.75" x14ac:dyDescent="0.25">
      <c r="A74" s="23">
        <v>3</v>
      </c>
      <c r="B74" s="31"/>
      <c r="C74" s="23" t="s">
        <v>8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f t="shared" si="26"/>
        <v>0</v>
      </c>
    </row>
    <row r="75" spans="1:10" ht="15.75" x14ac:dyDescent="0.25">
      <c r="A75" s="23">
        <v>4</v>
      </c>
      <c r="B75" s="32"/>
      <c r="C75" s="23" t="s">
        <v>9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f t="shared" si="26"/>
        <v>0</v>
      </c>
    </row>
    <row r="76" spans="1:10" ht="15.75" x14ac:dyDescent="0.25">
      <c r="A76" s="23">
        <v>1</v>
      </c>
      <c r="B76" s="30" t="s">
        <v>32</v>
      </c>
      <c r="C76" s="23" t="s">
        <v>6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1:10" ht="15.75" x14ac:dyDescent="0.25">
      <c r="A77" s="23">
        <v>2</v>
      </c>
      <c r="B77" s="31"/>
      <c r="C77" s="23" t="s">
        <v>7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1:10" ht="15.75" x14ac:dyDescent="0.25">
      <c r="A78" s="23">
        <v>3</v>
      </c>
      <c r="B78" s="31"/>
      <c r="C78" s="23" t="s">
        <v>8</v>
      </c>
      <c r="D78" s="20">
        <v>1603.1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f>SUM(D78:I78)</f>
        <v>1603.1</v>
      </c>
    </row>
    <row r="79" spans="1:10" ht="15.75" x14ac:dyDescent="0.25">
      <c r="A79" s="23">
        <v>4</v>
      </c>
      <c r="B79" s="32"/>
      <c r="C79" s="23" t="s">
        <v>9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1:10" ht="66" customHeight="1" x14ac:dyDescent="0.25">
      <c r="A80" s="23">
        <v>1</v>
      </c>
      <c r="B80" s="51" t="s">
        <v>29</v>
      </c>
      <c r="C80" s="23" t="s">
        <v>17</v>
      </c>
      <c r="D80" s="20">
        <f>SUM(D81:D96)</f>
        <v>160689.57897</v>
      </c>
      <c r="E80" s="20">
        <f t="shared" ref="E80:I80" si="27">E93+E94+E95+E96</f>
        <v>0</v>
      </c>
      <c r="F80" s="20">
        <v>851910.38</v>
      </c>
      <c r="G80" s="20">
        <f t="shared" si="27"/>
        <v>0</v>
      </c>
      <c r="H80" s="20">
        <f t="shared" si="27"/>
        <v>0</v>
      </c>
      <c r="I80" s="20">
        <f t="shared" si="27"/>
        <v>0</v>
      </c>
      <c r="J80" s="20">
        <v>1012599.96</v>
      </c>
    </row>
    <row r="81" spans="1:10" ht="15.75" x14ac:dyDescent="0.25">
      <c r="A81" s="23">
        <v>1</v>
      </c>
      <c r="B81" s="44" t="s">
        <v>33</v>
      </c>
      <c r="C81" s="26" t="s">
        <v>6</v>
      </c>
      <c r="D81" s="20">
        <f>209.14027+3156.88453</f>
        <v>3366.0247999999997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f t="shared" ref="J81:J88" si="28">SUM(D81:I81)</f>
        <v>3366.0247999999997</v>
      </c>
    </row>
    <row r="82" spans="1:10" ht="15.75" x14ac:dyDescent="0.25">
      <c r="A82" s="23">
        <v>2</v>
      </c>
      <c r="B82" s="45"/>
      <c r="C82" s="26" t="s">
        <v>7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f t="shared" si="28"/>
        <v>0</v>
      </c>
    </row>
    <row r="83" spans="1:10" ht="15.75" x14ac:dyDescent="0.25">
      <c r="A83" s="23">
        <v>3</v>
      </c>
      <c r="B83" s="45"/>
      <c r="C83" s="26" t="s">
        <v>8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f t="shared" si="28"/>
        <v>0</v>
      </c>
    </row>
    <row r="84" spans="1:10" ht="15.75" x14ac:dyDescent="0.25">
      <c r="A84" s="23">
        <v>4</v>
      </c>
      <c r="B84" s="46"/>
      <c r="C84" s="26" t="s">
        <v>9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f t="shared" si="28"/>
        <v>0</v>
      </c>
    </row>
    <row r="85" spans="1:10" ht="15.75" x14ac:dyDescent="0.25">
      <c r="A85" s="23">
        <v>1</v>
      </c>
      <c r="B85" s="44" t="s">
        <v>43</v>
      </c>
      <c r="C85" s="26" t="s">
        <v>6</v>
      </c>
      <c r="D85" s="20">
        <f>4118.05417+675+1500</f>
        <v>6293.0541700000003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f t="shared" si="28"/>
        <v>6293.0541700000003</v>
      </c>
    </row>
    <row r="86" spans="1:10" ht="15.75" x14ac:dyDescent="0.25">
      <c r="A86" s="23">
        <v>2</v>
      </c>
      <c r="B86" s="45"/>
      <c r="C86" s="26" t="s">
        <v>7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f t="shared" si="28"/>
        <v>0</v>
      </c>
    </row>
    <row r="87" spans="1:10" ht="15.75" x14ac:dyDescent="0.25">
      <c r="A87" s="23">
        <v>3</v>
      </c>
      <c r="B87" s="45"/>
      <c r="C87" s="26" t="s">
        <v>8</v>
      </c>
      <c r="D87" s="20">
        <f>98830.5+16200+36000</f>
        <v>151030.5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f t="shared" si="28"/>
        <v>151030.5</v>
      </c>
    </row>
    <row r="88" spans="1:10" ht="15.75" x14ac:dyDescent="0.25">
      <c r="A88" s="23">
        <v>4</v>
      </c>
      <c r="B88" s="46"/>
      <c r="C88" s="26" t="s">
        <v>9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f t="shared" si="28"/>
        <v>0</v>
      </c>
    </row>
    <row r="89" spans="1:10" ht="15.75" x14ac:dyDescent="0.25">
      <c r="A89" s="23">
        <v>1</v>
      </c>
      <c r="B89" s="44" t="s">
        <v>34</v>
      </c>
      <c r="C89" s="26" t="s">
        <v>6</v>
      </c>
      <c r="D89" s="20">
        <v>0</v>
      </c>
      <c r="E89" s="20">
        <v>0</v>
      </c>
      <c r="F89" s="20">
        <f>12500</f>
        <v>12500</v>
      </c>
      <c r="G89" s="20">
        <v>0</v>
      </c>
      <c r="H89" s="20">
        <v>0</v>
      </c>
      <c r="I89" s="20">
        <v>0</v>
      </c>
      <c r="J89" s="20">
        <v>12500</v>
      </c>
    </row>
    <row r="90" spans="1:10" ht="15.75" x14ac:dyDescent="0.25">
      <c r="A90" s="23">
        <v>2</v>
      </c>
      <c r="B90" s="45"/>
      <c r="C90" s="26" t="s">
        <v>7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f>SUM(D90:I90)</f>
        <v>0</v>
      </c>
    </row>
    <row r="91" spans="1:10" ht="15.75" x14ac:dyDescent="0.25">
      <c r="A91" s="23">
        <v>3</v>
      </c>
      <c r="B91" s="45"/>
      <c r="C91" s="26" t="s">
        <v>8</v>
      </c>
      <c r="D91" s="20">
        <v>0</v>
      </c>
      <c r="E91" s="20">
        <v>0</v>
      </c>
      <c r="F91" s="20">
        <f>300000</f>
        <v>300000</v>
      </c>
      <c r="G91" s="20">
        <v>0</v>
      </c>
      <c r="H91" s="20">
        <v>0</v>
      </c>
      <c r="I91" s="20">
        <v>0</v>
      </c>
      <c r="J91" s="20">
        <f>SUM(D91:I91)</f>
        <v>300000</v>
      </c>
    </row>
    <row r="92" spans="1:10" ht="15.75" x14ac:dyDescent="0.25">
      <c r="A92" s="23">
        <v>4</v>
      </c>
      <c r="B92" s="46"/>
      <c r="C92" s="26" t="s">
        <v>9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f>SUM(D92:I92)</f>
        <v>0</v>
      </c>
    </row>
    <row r="93" spans="1:10" ht="15.75" customHeight="1" x14ac:dyDescent="0.25">
      <c r="A93" s="13">
        <v>2</v>
      </c>
      <c r="B93" s="47" t="s">
        <v>35</v>
      </c>
      <c r="C93" s="13" t="s">
        <v>6</v>
      </c>
      <c r="D93" s="20">
        <v>0</v>
      </c>
      <c r="E93" s="20">
        <v>0</v>
      </c>
      <c r="F93" s="20">
        <f>21576.41</f>
        <v>21576.41</v>
      </c>
      <c r="G93" s="20">
        <v>0</v>
      </c>
      <c r="H93" s="20">
        <v>0</v>
      </c>
      <c r="I93" s="20">
        <v>0</v>
      </c>
      <c r="J93" s="20">
        <f>D93+E93+F93+G93+H93+I93</f>
        <v>21576.41</v>
      </c>
    </row>
    <row r="94" spans="1:10" ht="15.75" x14ac:dyDescent="0.25">
      <c r="A94" s="13">
        <v>3</v>
      </c>
      <c r="B94" s="48"/>
      <c r="C94" s="13" t="s">
        <v>7</v>
      </c>
      <c r="D94" s="20">
        <v>0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f t="shared" ref="J94:J96" si="29">D94+E94+F94+G94+H94+I94</f>
        <v>0</v>
      </c>
    </row>
    <row r="95" spans="1:10" ht="15.75" x14ac:dyDescent="0.25">
      <c r="A95" s="13">
        <v>4</v>
      </c>
      <c r="B95" s="48"/>
      <c r="C95" s="13" t="s">
        <v>8</v>
      </c>
      <c r="D95" s="20">
        <v>0</v>
      </c>
      <c r="E95" s="20">
        <v>0</v>
      </c>
      <c r="F95" s="20">
        <f>517833.96897</f>
        <v>517833.96896999999</v>
      </c>
      <c r="G95" s="20">
        <v>0</v>
      </c>
      <c r="H95" s="20">
        <v>0</v>
      </c>
      <c r="I95" s="20">
        <v>0</v>
      </c>
      <c r="J95" s="20">
        <f t="shared" si="29"/>
        <v>517833.96896999999</v>
      </c>
    </row>
    <row r="96" spans="1:10" ht="96.75" customHeight="1" x14ac:dyDescent="0.25">
      <c r="A96" s="13">
        <v>5</v>
      </c>
      <c r="B96" s="49"/>
      <c r="C96" s="13" t="s">
        <v>9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f t="shared" si="29"/>
        <v>0</v>
      </c>
    </row>
    <row r="97" spans="1:11" ht="45.75" customHeight="1" x14ac:dyDescent="0.25">
      <c r="A97" s="23">
        <v>1</v>
      </c>
      <c r="B97" s="51" t="s">
        <v>25</v>
      </c>
      <c r="C97" s="23" t="s">
        <v>17</v>
      </c>
      <c r="D97" s="20">
        <f>SUM(D98:D105)</f>
        <v>25232.878239999998</v>
      </c>
      <c r="E97" s="20">
        <f t="shared" ref="E97:I97" si="30">E102+E103+E104+E105</f>
        <v>43000</v>
      </c>
      <c r="F97" s="20">
        <f t="shared" si="30"/>
        <v>0</v>
      </c>
      <c r="G97" s="20">
        <f t="shared" si="30"/>
        <v>0</v>
      </c>
      <c r="H97" s="20">
        <f t="shared" si="30"/>
        <v>0</v>
      </c>
      <c r="I97" s="20">
        <f t="shared" si="30"/>
        <v>0</v>
      </c>
      <c r="J97" s="20">
        <v>68232.88</v>
      </c>
    </row>
    <row r="98" spans="1:11" ht="15.75" x14ac:dyDescent="0.25">
      <c r="A98" s="23">
        <v>1</v>
      </c>
      <c r="B98" s="35" t="s">
        <v>36</v>
      </c>
      <c r="C98" s="23" t="s">
        <v>6</v>
      </c>
      <c r="D98" s="20">
        <f>25232.87824</f>
        <v>25232.878239999998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f>SUM(D98:I98)</f>
        <v>25232.878239999998</v>
      </c>
    </row>
    <row r="99" spans="1:11" ht="15.75" x14ac:dyDescent="0.25">
      <c r="A99" s="23">
        <v>2</v>
      </c>
      <c r="B99" s="52"/>
      <c r="C99" s="23" t="s">
        <v>7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1:11" ht="15.75" x14ac:dyDescent="0.25">
      <c r="A100" s="23">
        <v>3</v>
      </c>
      <c r="B100" s="52"/>
      <c r="C100" s="23" t="s">
        <v>8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1:11" ht="15.75" x14ac:dyDescent="0.25">
      <c r="A101" s="23">
        <v>4</v>
      </c>
      <c r="B101" s="53"/>
      <c r="C101" s="23" t="s">
        <v>9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1:11" ht="15.75" x14ac:dyDescent="0.25">
      <c r="A102" s="23">
        <v>1</v>
      </c>
      <c r="B102" s="35" t="s">
        <v>37</v>
      </c>
      <c r="C102" s="23" t="s">
        <v>6</v>
      </c>
      <c r="D102" s="20">
        <v>0</v>
      </c>
      <c r="E102" s="20">
        <f>1720</f>
        <v>1720</v>
      </c>
      <c r="F102" s="20">
        <v>0</v>
      </c>
      <c r="G102" s="20">
        <v>0</v>
      </c>
      <c r="H102" s="20">
        <v>0</v>
      </c>
      <c r="I102" s="20">
        <v>0</v>
      </c>
      <c r="J102" s="20">
        <f>D102+E102+F102+G102+H102+I102</f>
        <v>1720</v>
      </c>
    </row>
    <row r="103" spans="1:11" ht="15.75" x14ac:dyDescent="0.25">
      <c r="A103" s="23">
        <v>2</v>
      </c>
      <c r="B103" s="54"/>
      <c r="C103" s="23" t="s">
        <v>7</v>
      </c>
      <c r="D103" s="20">
        <v>0</v>
      </c>
      <c r="E103" s="20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f t="shared" ref="J103:J105" si="31">D103+E103+F103+G103+H103+I103</f>
        <v>0</v>
      </c>
    </row>
    <row r="104" spans="1:11" ht="15.75" x14ac:dyDescent="0.25">
      <c r="A104" s="23">
        <v>3</v>
      </c>
      <c r="B104" s="54"/>
      <c r="C104" s="23" t="s">
        <v>8</v>
      </c>
      <c r="D104" s="20">
        <v>0</v>
      </c>
      <c r="E104" s="20">
        <f>41280</f>
        <v>41280</v>
      </c>
      <c r="F104" s="20">
        <v>0</v>
      </c>
      <c r="G104" s="20">
        <v>0</v>
      </c>
      <c r="H104" s="20">
        <v>0</v>
      </c>
      <c r="I104" s="20">
        <v>0</v>
      </c>
      <c r="J104" s="20">
        <f t="shared" si="31"/>
        <v>41280</v>
      </c>
    </row>
    <row r="105" spans="1:11" ht="27" customHeight="1" x14ac:dyDescent="0.25">
      <c r="A105" s="23">
        <v>4</v>
      </c>
      <c r="B105" s="55"/>
      <c r="C105" s="23" t="s">
        <v>9</v>
      </c>
      <c r="D105" s="20"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f t="shared" si="31"/>
        <v>0</v>
      </c>
    </row>
    <row r="106" spans="1:11" ht="31.5" x14ac:dyDescent="0.25">
      <c r="A106" s="23">
        <v>1</v>
      </c>
      <c r="B106" s="56" t="s">
        <v>26</v>
      </c>
      <c r="C106" s="23" t="s">
        <v>17</v>
      </c>
      <c r="D106" s="20">
        <f t="shared" ref="D106:J106" si="32">SUM(D107:D118)</f>
        <v>34061.789349999999</v>
      </c>
      <c r="E106" s="20">
        <f t="shared" si="32"/>
        <v>42834.108330000003</v>
      </c>
      <c r="F106" s="20">
        <f t="shared" si="32"/>
        <v>38220.983330000003</v>
      </c>
      <c r="G106" s="20">
        <f t="shared" si="32"/>
        <v>0</v>
      </c>
      <c r="H106" s="20">
        <f t="shared" si="32"/>
        <v>0</v>
      </c>
      <c r="I106" s="20">
        <f t="shared" si="32"/>
        <v>0</v>
      </c>
      <c r="J106" s="20">
        <f t="shared" si="32"/>
        <v>115116.88101</v>
      </c>
    </row>
    <row r="107" spans="1:11" ht="15.75" x14ac:dyDescent="0.25">
      <c r="A107" s="23">
        <v>1</v>
      </c>
      <c r="B107" s="30" t="s">
        <v>38</v>
      </c>
      <c r="C107" s="23" t="s">
        <v>6</v>
      </c>
      <c r="D107" s="20">
        <f>1264.333+1285.667+2.07685+140+220+150+100+233.81709+144.18291+50+50+260+48.5+34.74209+44.25791+324.37753+111.43587+1.6866+219.25649+205.24351</f>
        <v>4889.5768500000004</v>
      </c>
      <c r="E107" s="20">
        <f>1900+800+230+220+250+100+70+30+50+50+48.5+85+29+349+101+100+14.5</f>
        <v>4427</v>
      </c>
      <c r="F107" s="20">
        <f>1900+800+230+220+250+100+70+30+50+50+48.5+85+29+349+101+100+14.5</f>
        <v>4427</v>
      </c>
      <c r="G107" s="20">
        <v>0</v>
      </c>
      <c r="H107" s="20">
        <v>0</v>
      </c>
      <c r="I107" s="20">
        <v>0</v>
      </c>
      <c r="J107" s="20">
        <f t="shared" ref="J107:J114" si="33">SUM(D107:I107)</f>
        <v>13743.576850000001</v>
      </c>
    </row>
    <row r="108" spans="1:11" ht="15.75" x14ac:dyDescent="0.25">
      <c r="A108" s="23">
        <v>2</v>
      </c>
      <c r="B108" s="31"/>
      <c r="C108" s="23" t="s">
        <v>7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f t="shared" si="33"/>
        <v>0</v>
      </c>
    </row>
    <row r="109" spans="1:11" ht="15.75" x14ac:dyDescent="0.25">
      <c r="A109" s="23">
        <v>3</v>
      </c>
      <c r="B109" s="31"/>
      <c r="C109" s="23" t="s">
        <v>8</v>
      </c>
      <c r="D109" s="20">
        <v>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f t="shared" si="33"/>
        <v>0</v>
      </c>
    </row>
    <row r="110" spans="1:11" ht="15.75" x14ac:dyDescent="0.25">
      <c r="A110" s="23">
        <v>4</v>
      </c>
      <c r="B110" s="32"/>
      <c r="C110" s="23" t="s">
        <v>9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f t="shared" si="33"/>
        <v>0</v>
      </c>
    </row>
    <row r="111" spans="1:11" s="25" customFormat="1" ht="15.75" x14ac:dyDescent="0.25">
      <c r="A111" s="23">
        <v>1</v>
      </c>
      <c r="B111" s="30" t="s">
        <v>39</v>
      </c>
      <c r="C111" s="23" t="s">
        <v>6</v>
      </c>
      <c r="D111" s="20">
        <f>275.11286+3991.82047+650+237.5+117.5+172.5+172.5+122.5+357.5+45</f>
        <v>6141.9333299999998</v>
      </c>
      <c r="E111" s="20">
        <f>4266.93333+650+237.5+117.5+172.5+172.5+122.5+357.5+45</f>
        <v>6141.9333299999998</v>
      </c>
      <c r="F111" s="20">
        <f>4266.93333+650+237.5+117.5+172.5+172.5+122.5+357.5+45</f>
        <v>6141.9333299999998</v>
      </c>
      <c r="G111" s="20">
        <v>0</v>
      </c>
      <c r="H111" s="20">
        <v>0</v>
      </c>
      <c r="I111" s="20">
        <v>0</v>
      </c>
      <c r="J111" s="20">
        <f t="shared" si="33"/>
        <v>18425.79999</v>
      </c>
      <c r="K111" s="24"/>
    </row>
    <row r="112" spans="1:11" s="25" customFormat="1" ht="15.75" x14ac:dyDescent="0.25">
      <c r="A112" s="23">
        <v>2</v>
      </c>
      <c r="B112" s="31"/>
      <c r="C112" s="23" t="s">
        <v>7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f t="shared" si="33"/>
        <v>0</v>
      </c>
      <c r="K112" s="24"/>
    </row>
    <row r="113" spans="1:11" s="25" customFormat="1" ht="15.75" x14ac:dyDescent="0.25">
      <c r="A113" s="23">
        <v>3</v>
      </c>
      <c r="B113" s="31"/>
      <c r="C113" s="23" t="s">
        <v>8</v>
      </c>
      <c r="D113" s="20">
        <f>825.33859+11975.46141+1950+712.5+352.5+517.5+517.5+367.5+1072.5+135</f>
        <v>18425.8</v>
      </c>
      <c r="E113" s="20">
        <f>12800.8+1950+712.5+352.5+517.5+517.5+367.5+1072.5+135</f>
        <v>18425.8</v>
      </c>
      <c r="F113" s="20">
        <f>12800.8+1950+712.5+352.5+517.5+517.5+367.5+1072.5+135</f>
        <v>18425.8</v>
      </c>
      <c r="G113" s="20">
        <v>0</v>
      </c>
      <c r="H113" s="20">
        <v>0</v>
      </c>
      <c r="I113" s="20">
        <v>0</v>
      </c>
      <c r="J113" s="20">
        <f t="shared" si="33"/>
        <v>55277.399999999994</v>
      </c>
      <c r="K113" s="24"/>
    </row>
    <row r="114" spans="1:11" s="25" customFormat="1" ht="15.75" x14ac:dyDescent="0.25">
      <c r="A114" s="23">
        <v>4</v>
      </c>
      <c r="B114" s="32"/>
      <c r="C114" s="23" t="s">
        <v>9</v>
      </c>
      <c r="D114" s="20">
        <v>0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f t="shared" si="33"/>
        <v>0</v>
      </c>
      <c r="K114" s="24"/>
    </row>
    <row r="115" spans="1:11" ht="15.75" x14ac:dyDescent="0.25">
      <c r="A115" s="23">
        <v>1</v>
      </c>
      <c r="B115" s="30" t="s">
        <v>40</v>
      </c>
      <c r="C115" s="23" t="s">
        <v>6</v>
      </c>
      <c r="D115" s="20">
        <f>184.17917</f>
        <v>184.17917</v>
      </c>
      <c r="E115" s="20">
        <f>333.33334+25+41.66667+25+22.62083+20.83333+20.83333+41.66667+22.62083</f>
        <v>553.57499999999993</v>
      </c>
      <c r="F115" s="20">
        <f>291.66669+25+8.33333+8.33333+5.35833+8.33333+8.33333+8.33333+5.35833</f>
        <v>369.05</v>
      </c>
      <c r="G115" s="20">
        <v>0</v>
      </c>
      <c r="H115" s="20">
        <v>0</v>
      </c>
      <c r="I115" s="20">
        <v>0</v>
      </c>
      <c r="J115" s="20">
        <f>D115+E115+F115+G115+H115+I115</f>
        <v>1106.8041699999999</v>
      </c>
    </row>
    <row r="116" spans="1:11" ht="15.75" x14ac:dyDescent="0.25">
      <c r="A116" s="23">
        <v>2</v>
      </c>
      <c r="B116" s="31"/>
      <c r="C116" s="23" t="s">
        <v>7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f t="shared" ref="J116:J118" si="34">D116+E116+F116+G116+H116+I116</f>
        <v>0</v>
      </c>
    </row>
    <row r="117" spans="1:11" ht="15.75" x14ac:dyDescent="0.25">
      <c r="A117" s="23">
        <v>3</v>
      </c>
      <c r="B117" s="31"/>
      <c r="C117" s="23" t="s">
        <v>8</v>
      </c>
      <c r="D117" s="20">
        <f>4420.3</f>
        <v>4420.3</v>
      </c>
      <c r="E117" s="20">
        <f>8000+600+1000+600+542.9+500+500+1000+542.9</f>
        <v>13285.8</v>
      </c>
      <c r="F117" s="20">
        <f>7000+600+200+200+128.6+200+200+200+128.6</f>
        <v>8857.2000000000007</v>
      </c>
      <c r="G117" s="20">
        <v>0</v>
      </c>
      <c r="H117" s="20">
        <v>0</v>
      </c>
      <c r="I117" s="20">
        <v>0</v>
      </c>
      <c r="J117" s="20">
        <f t="shared" si="34"/>
        <v>26563.3</v>
      </c>
    </row>
    <row r="118" spans="1:11" ht="15.75" x14ac:dyDescent="0.25">
      <c r="A118" s="23">
        <v>4</v>
      </c>
      <c r="B118" s="32"/>
      <c r="C118" s="23" t="s">
        <v>9</v>
      </c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f t="shared" si="34"/>
        <v>0</v>
      </c>
    </row>
    <row r="119" spans="1:11" ht="47.25" x14ac:dyDescent="0.25">
      <c r="A119" s="23">
        <v>1</v>
      </c>
      <c r="B119" s="51" t="s">
        <v>27</v>
      </c>
      <c r="C119" s="23" t="s">
        <v>17</v>
      </c>
      <c r="D119" s="20">
        <f>D120+D121+D122+D123+D124+D125+D126+D127</f>
        <v>300</v>
      </c>
      <c r="E119" s="20">
        <f t="shared" ref="E119:I119" si="35">E120+E121+E122+E123+E124+E125+E126+E127</f>
        <v>17175</v>
      </c>
      <c r="F119" s="20">
        <f t="shared" si="35"/>
        <v>300</v>
      </c>
      <c r="G119" s="20">
        <f t="shared" si="35"/>
        <v>0</v>
      </c>
      <c r="H119" s="20">
        <f t="shared" si="35"/>
        <v>0</v>
      </c>
      <c r="I119" s="20">
        <f t="shared" si="35"/>
        <v>0</v>
      </c>
      <c r="J119" s="20">
        <f>J120+J121+J122+J123+J124+J125+J126+J127</f>
        <v>17775</v>
      </c>
    </row>
    <row r="120" spans="1:11" ht="15.75" x14ac:dyDescent="0.25">
      <c r="A120" s="23">
        <v>2</v>
      </c>
      <c r="B120" s="30" t="s">
        <v>41</v>
      </c>
      <c r="C120" s="23" t="s">
        <v>6</v>
      </c>
      <c r="D120" s="22">
        <v>300</v>
      </c>
      <c r="E120" s="22">
        <v>300</v>
      </c>
      <c r="F120" s="20">
        <v>300</v>
      </c>
      <c r="G120" s="20">
        <v>0</v>
      </c>
      <c r="H120" s="20">
        <v>0</v>
      </c>
      <c r="I120" s="20">
        <v>0</v>
      </c>
      <c r="J120" s="20">
        <f>D120+E120+F120+G120+H120+I120</f>
        <v>900</v>
      </c>
    </row>
    <row r="121" spans="1:11" ht="15.75" x14ac:dyDescent="0.25">
      <c r="A121" s="23">
        <v>3</v>
      </c>
      <c r="B121" s="57"/>
      <c r="C121" s="23" t="s">
        <v>7</v>
      </c>
      <c r="D121" s="58">
        <v>0</v>
      </c>
      <c r="E121" s="58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f t="shared" ref="J121:J127" si="36">D121+E121+F121+G121+H121+I121</f>
        <v>0</v>
      </c>
    </row>
    <row r="122" spans="1:11" ht="15.75" x14ac:dyDescent="0.25">
      <c r="A122" s="23">
        <v>4</v>
      </c>
      <c r="B122" s="57"/>
      <c r="C122" s="23" t="s">
        <v>8</v>
      </c>
      <c r="D122" s="59">
        <v>0</v>
      </c>
      <c r="E122" s="59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f t="shared" si="36"/>
        <v>0</v>
      </c>
    </row>
    <row r="123" spans="1:11" ht="15.75" x14ac:dyDescent="0.25">
      <c r="A123" s="23">
        <v>5</v>
      </c>
      <c r="B123" s="60"/>
      <c r="C123" s="23" t="s">
        <v>9</v>
      </c>
      <c r="D123" s="20">
        <v>0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f t="shared" si="36"/>
        <v>0</v>
      </c>
    </row>
    <row r="124" spans="1:11" ht="15.75" x14ac:dyDescent="0.25">
      <c r="A124" s="9">
        <v>2</v>
      </c>
      <c r="B124" s="29" t="s">
        <v>42</v>
      </c>
      <c r="C124" s="9" t="s">
        <v>6</v>
      </c>
      <c r="D124" s="22">
        <v>0</v>
      </c>
      <c r="E124" s="22">
        <v>675</v>
      </c>
      <c r="F124" s="19">
        <v>0</v>
      </c>
      <c r="G124" s="19">
        <v>0</v>
      </c>
      <c r="H124" s="19">
        <v>0</v>
      </c>
      <c r="I124" s="19">
        <v>0</v>
      </c>
      <c r="J124" s="19">
        <f t="shared" si="36"/>
        <v>675</v>
      </c>
    </row>
    <row r="125" spans="1:11" ht="15.75" x14ac:dyDescent="0.25">
      <c r="A125" s="9">
        <v>3</v>
      </c>
      <c r="B125" s="33"/>
      <c r="C125" s="9" t="s">
        <v>7</v>
      </c>
      <c r="D125" s="22">
        <v>0</v>
      </c>
      <c r="E125" s="22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f t="shared" si="36"/>
        <v>0</v>
      </c>
    </row>
    <row r="126" spans="1:11" ht="15.75" x14ac:dyDescent="0.25">
      <c r="A126" s="9">
        <v>4</v>
      </c>
      <c r="B126" s="33"/>
      <c r="C126" s="9" t="s">
        <v>8</v>
      </c>
      <c r="D126" s="22">
        <v>0</v>
      </c>
      <c r="E126" s="22">
        <v>16200</v>
      </c>
      <c r="F126" s="19">
        <v>0</v>
      </c>
      <c r="G126" s="19">
        <v>0</v>
      </c>
      <c r="H126" s="19">
        <v>0</v>
      </c>
      <c r="I126" s="19">
        <v>0</v>
      </c>
      <c r="J126" s="19">
        <f t="shared" si="36"/>
        <v>16200</v>
      </c>
    </row>
    <row r="127" spans="1:11" ht="15.75" x14ac:dyDescent="0.25">
      <c r="A127" s="9">
        <v>5</v>
      </c>
      <c r="B127" s="34"/>
      <c r="C127" s="9" t="s">
        <v>9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f t="shared" si="36"/>
        <v>0</v>
      </c>
    </row>
    <row r="132" spans="2:2" x14ac:dyDescent="0.25">
      <c r="B132" s="10"/>
    </row>
    <row r="143" spans="2:2" ht="37.5" customHeight="1" x14ac:dyDescent="0.25"/>
    <row r="144" spans="2:2" ht="37.5" customHeight="1" x14ac:dyDescent="0.25"/>
  </sheetData>
  <mergeCells count="19">
    <mergeCell ref="B124:B127"/>
    <mergeCell ref="B72:B75"/>
    <mergeCell ref="B93:B96"/>
    <mergeCell ref="B102:B105"/>
    <mergeCell ref="G1:J1"/>
    <mergeCell ref="A2:J2"/>
    <mergeCell ref="B4:B5"/>
    <mergeCell ref="C4:C5"/>
    <mergeCell ref="D4:J4"/>
    <mergeCell ref="B68:B71"/>
    <mergeCell ref="B107:B110"/>
    <mergeCell ref="B111:B114"/>
    <mergeCell ref="B115:B118"/>
    <mergeCell ref="B120:B123"/>
    <mergeCell ref="B76:B79"/>
    <mergeCell ref="B98:B101"/>
    <mergeCell ref="B81:B84"/>
    <mergeCell ref="B85:B88"/>
    <mergeCell ref="B89:B92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табл.4 Паспорт МП</vt:lpstr>
      <vt:lpstr>'табл.4 Паспорт МП'!Область_печати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2025-07-09T06:25:34Z</dcterms:modified>
</cp:coreProperties>
</file>