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/>
  </bookViews>
  <sheets>
    <sheet name="табл.4 Паспорт МП" sheetId="1" r:id="rId1"/>
  </sheets>
  <definedNames>
    <definedName name="_xlnm.Print_Area" localSheetId="0">'табл.4 Паспорт МП'!$B$1:$K$111</definedName>
  </definedNames>
  <calcPr calcId="162913"/>
</workbook>
</file>

<file path=xl/calcChain.xml><?xml version="1.0" encoding="utf-8"?>
<calcChain xmlns="http://schemas.openxmlformats.org/spreadsheetml/2006/main">
  <c r="E67" i="1" l="1"/>
  <c r="F67" i="1"/>
  <c r="K78" i="1"/>
  <c r="F95" i="1"/>
  <c r="F97" i="1"/>
  <c r="G65" i="1"/>
  <c r="F65" i="1"/>
  <c r="E65" i="1"/>
  <c r="G63" i="1"/>
  <c r="F63" i="1"/>
  <c r="E63" i="1"/>
  <c r="G60" i="1"/>
  <c r="F60" i="1"/>
  <c r="E60" i="1"/>
  <c r="G58" i="1"/>
  <c r="F58" i="1"/>
  <c r="E58" i="1"/>
  <c r="G55" i="1"/>
  <c r="F55" i="1"/>
  <c r="E55" i="1"/>
  <c r="G53" i="1"/>
  <c r="F53" i="1"/>
  <c r="E53" i="1"/>
  <c r="G50" i="1"/>
  <c r="F50" i="1"/>
  <c r="E50" i="1"/>
  <c r="G48" i="1"/>
  <c r="F48" i="1"/>
  <c r="E48" i="1"/>
  <c r="G45" i="1"/>
  <c r="F45" i="1"/>
  <c r="E45" i="1"/>
  <c r="G43" i="1"/>
  <c r="F43" i="1"/>
  <c r="E43" i="1"/>
  <c r="G40" i="1"/>
  <c r="F40" i="1"/>
  <c r="E40" i="1"/>
  <c r="G38" i="1"/>
  <c r="F38" i="1"/>
  <c r="E38" i="1"/>
  <c r="G35" i="1"/>
  <c r="F35" i="1"/>
  <c r="E35" i="1"/>
  <c r="G33" i="1"/>
  <c r="F33" i="1"/>
  <c r="E33" i="1"/>
  <c r="G30" i="1"/>
  <c r="F30" i="1"/>
  <c r="E30" i="1"/>
  <c r="G28" i="1"/>
  <c r="F28" i="1"/>
  <c r="E28" i="1"/>
  <c r="G25" i="1"/>
  <c r="F25" i="1"/>
  <c r="E25" i="1"/>
  <c r="G23" i="1"/>
  <c r="F23" i="1"/>
  <c r="E23" i="1"/>
  <c r="F15" i="1"/>
  <c r="E15" i="1"/>
  <c r="G13" i="1"/>
  <c r="G8" i="1" s="1"/>
  <c r="F13" i="1"/>
  <c r="F8" i="1" s="1"/>
  <c r="E13" i="1"/>
  <c r="E8" i="1" s="1"/>
  <c r="F104" i="1"/>
  <c r="E104" i="1"/>
  <c r="F10" i="1" l="1"/>
  <c r="G99" i="1"/>
  <c r="G101" i="1"/>
  <c r="F101" i="1"/>
  <c r="F99" i="1"/>
  <c r="E101" i="1"/>
  <c r="E99" i="1"/>
  <c r="G97" i="1"/>
  <c r="G95" i="1"/>
  <c r="E97" i="1"/>
  <c r="E95" i="1"/>
  <c r="J90" i="1"/>
  <c r="I90" i="1"/>
  <c r="H90" i="1"/>
  <c r="K98" i="1"/>
  <c r="K96" i="1"/>
  <c r="K95" i="1"/>
  <c r="K94" i="1"/>
  <c r="K93" i="1"/>
  <c r="K92" i="1"/>
  <c r="G91" i="1"/>
  <c r="F91" i="1"/>
  <c r="E91" i="1"/>
  <c r="G90" i="1" l="1"/>
  <c r="K91" i="1"/>
  <c r="F90" i="1"/>
  <c r="E90" i="1"/>
  <c r="K97" i="1"/>
  <c r="F88" i="1"/>
  <c r="F86" i="1"/>
  <c r="E83" i="1"/>
  <c r="E81" i="1"/>
  <c r="G67" i="1"/>
  <c r="H67" i="1"/>
  <c r="I67" i="1"/>
  <c r="J67" i="1"/>
  <c r="K68" i="1"/>
  <c r="K69" i="1"/>
  <c r="K70" i="1"/>
  <c r="K71" i="1"/>
  <c r="K105" i="1" l="1"/>
  <c r="K106" i="1"/>
  <c r="K107" i="1"/>
  <c r="K108" i="1"/>
  <c r="K109" i="1"/>
  <c r="K110" i="1"/>
  <c r="K111" i="1"/>
  <c r="K104" i="1"/>
  <c r="K100" i="1"/>
  <c r="K101" i="1"/>
  <c r="K102" i="1"/>
  <c r="K99" i="1"/>
  <c r="K87" i="1"/>
  <c r="K88" i="1"/>
  <c r="K89" i="1"/>
  <c r="K86" i="1"/>
  <c r="K82" i="1"/>
  <c r="K83" i="1"/>
  <c r="K84" i="1"/>
  <c r="K81" i="1"/>
  <c r="K73" i="1"/>
  <c r="K74" i="1"/>
  <c r="K75" i="1"/>
  <c r="K72" i="1"/>
  <c r="K64" i="1"/>
  <c r="K65" i="1"/>
  <c r="K66" i="1"/>
  <c r="K63" i="1"/>
  <c r="K59" i="1"/>
  <c r="K60" i="1"/>
  <c r="K61" i="1"/>
  <c r="K58" i="1"/>
  <c r="K54" i="1"/>
  <c r="K55" i="1"/>
  <c r="K56" i="1"/>
  <c r="K53" i="1"/>
  <c r="K49" i="1"/>
  <c r="K50" i="1"/>
  <c r="K51" i="1"/>
  <c r="K48" i="1"/>
  <c r="K44" i="1"/>
  <c r="K45" i="1"/>
  <c r="K46" i="1"/>
  <c r="K43" i="1"/>
  <c r="K39" i="1"/>
  <c r="K40" i="1"/>
  <c r="K41" i="1"/>
  <c r="K38" i="1"/>
  <c r="K34" i="1"/>
  <c r="K35" i="1"/>
  <c r="K36" i="1"/>
  <c r="K33" i="1"/>
  <c r="K29" i="1"/>
  <c r="K30" i="1"/>
  <c r="K31" i="1"/>
  <c r="K28" i="1"/>
  <c r="K24" i="1"/>
  <c r="K25" i="1"/>
  <c r="K26" i="1"/>
  <c r="K23" i="1"/>
  <c r="K19" i="1"/>
  <c r="K20" i="1"/>
  <c r="K21" i="1"/>
  <c r="K18" i="1"/>
  <c r="K14" i="1"/>
  <c r="K15" i="1"/>
  <c r="K16" i="1"/>
  <c r="K13" i="1"/>
  <c r="F103" i="1"/>
  <c r="G103" i="1"/>
  <c r="H103" i="1"/>
  <c r="I103" i="1"/>
  <c r="J103" i="1"/>
  <c r="E103" i="1"/>
  <c r="K67" i="1" l="1"/>
  <c r="K90" i="1"/>
  <c r="K12" i="1"/>
  <c r="K17" i="1"/>
  <c r="K37" i="1"/>
  <c r="K42" i="1"/>
  <c r="K47" i="1"/>
  <c r="K52" i="1"/>
  <c r="K57" i="1"/>
  <c r="K62" i="1"/>
  <c r="K22" i="1"/>
  <c r="K27" i="1"/>
  <c r="K32" i="1"/>
  <c r="K103" i="1"/>
  <c r="F85" i="1" l="1"/>
  <c r="G85" i="1"/>
  <c r="H85" i="1"/>
  <c r="I85" i="1"/>
  <c r="J85" i="1"/>
  <c r="K85" i="1"/>
  <c r="E85" i="1"/>
  <c r="F80" i="1"/>
  <c r="G80" i="1"/>
  <c r="H80" i="1"/>
  <c r="I80" i="1"/>
  <c r="J80" i="1"/>
  <c r="K80" i="1"/>
  <c r="E80" i="1"/>
  <c r="H8" i="1" l="1"/>
  <c r="F11" i="1"/>
  <c r="G11" i="1"/>
  <c r="H11" i="1"/>
  <c r="I11" i="1"/>
  <c r="J11" i="1"/>
  <c r="E11" i="1"/>
  <c r="G10" i="1"/>
  <c r="H10" i="1"/>
  <c r="I10" i="1"/>
  <c r="J10" i="1"/>
  <c r="E10" i="1"/>
  <c r="F9" i="1"/>
  <c r="G9" i="1"/>
  <c r="H9" i="1"/>
  <c r="I9" i="1"/>
  <c r="J9" i="1"/>
  <c r="E9" i="1"/>
  <c r="I8" i="1"/>
  <c r="J8" i="1"/>
  <c r="J17" i="1"/>
  <c r="I17" i="1"/>
  <c r="H17" i="1"/>
  <c r="G17" i="1"/>
  <c r="F17" i="1"/>
  <c r="E17" i="1"/>
  <c r="K11" i="1" l="1"/>
  <c r="K9" i="1"/>
  <c r="K10" i="1"/>
  <c r="K8" i="1"/>
  <c r="G22" i="1"/>
  <c r="H22" i="1"/>
  <c r="I22" i="1"/>
  <c r="J22" i="1"/>
  <c r="K7" i="1" l="1"/>
  <c r="F12" i="1"/>
  <c r="G12" i="1" l="1"/>
  <c r="H12" i="1"/>
  <c r="I12" i="1"/>
  <c r="J12" i="1"/>
  <c r="E12" i="1"/>
  <c r="E22" i="1" l="1"/>
  <c r="E27" i="1"/>
  <c r="F22" i="1"/>
  <c r="F27" i="1"/>
  <c r="J62" i="1" l="1"/>
  <c r="I62" i="1"/>
  <c r="H62" i="1"/>
  <c r="G62" i="1"/>
  <c r="F62" i="1"/>
  <c r="E62" i="1"/>
  <c r="J57" i="1"/>
  <c r="I57" i="1"/>
  <c r="H57" i="1"/>
  <c r="G57" i="1"/>
  <c r="F57" i="1"/>
  <c r="E57" i="1"/>
  <c r="J52" i="1"/>
  <c r="I52" i="1"/>
  <c r="H52" i="1"/>
  <c r="G52" i="1"/>
  <c r="F52" i="1"/>
  <c r="E52" i="1"/>
  <c r="J47" i="1"/>
  <c r="I47" i="1"/>
  <c r="H47" i="1"/>
  <c r="G47" i="1"/>
  <c r="F47" i="1"/>
  <c r="E47" i="1"/>
  <c r="J42" i="1"/>
  <c r="I42" i="1"/>
  <c r="H42" i="1"/>
  <c r="G42" i="1"/>
  <c r="F42" i="1"/>
  <c r="E42" i="1"/>
  <c r="J37" i="1"/>
  <c r="I37" i="1"/>
  <c r="H37" i="1"/>
  <c r="G37" i="1"/>
  <c r="F37" i="1"/>
  <c r="E37" i="1"/>
  <c r="J32" i="1"/>
  <c r="I32" i="1"/>
  <c r="H32" i="1"/>
  <c r="G32" i="1"/>
  <c r="F32" i="1"/>
  <c r="E32" i="1"/>
  <c r="J27" i="1"/>
  <c r="I27" i="1"/>
  <c r="H27" i="1"/>
  <c r="G27" i="1"/>
  <c r="F7" i="1" l="1"/>
  <c r="G7" i="1"/>
  <c r="H7" i="1"/>
  <c r="I7" i="1"/>
  <c r="J7" i="1"/>
  <c r="E7" i="1"/>
</calcChain>
</file>

<file path=xl/sharedStrings.xml><?xml version="1.0" encoding="utf-8"?>
<sst xmlns="http://schemas.openxmlformats.org/spreadsheetml/2006/main" count="140" uniqueCount="40">
  <si>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</si>
  <si>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</si>
  <si>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</si>
  <si>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</si>
  <si>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</si>
  <si>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Муниципальная программа</t>
  </si>
  <si>
    <t>МБ</t>
  </si>
  <si>
    <t>ФБ</t>
  </si>
  <si>
    <t>ОБ</t>
  </si>
  <si>
    <t>ВБ</t>
  </si>
  <si>
    <t>Соисполнитель 
Территориальный орган «Пригородный»</t>
  </si>
  <si>
    <t>Соисполнитель 
Территориальный орган «Пельшемский»</t>
  </si>
  <si>
    <t>Соисполнитель 
Территориальный орган «Двиницкий»</t>
  </si>
  <si>
    <t>Соисполнитель 
Территориальный орган «Воробьевский»</t>
  </si>
  <si>
    <t>Соисполнитель 
Территориальный орган «Биряковский»</t>
  </si>
  <si>
    <t>Соисполнитель 
Территориальный орган «Архангельский»</t>
  </si>
  <si>
    <t>Объем финансового обеспечения по годам , тыс. руб.</t>
  </si>
  <si>
    <t>всего, 
в том числе:</t>
  </si>
  <si>
    <t xml:space="preserve">4. Финансовое обеспечение муниципальной программы 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</si>
  <si>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</si>
  <si>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</si>
  <si>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</si>
  <si>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«Чучковский»</t>
  </si>
  <si>
    <t>Администрация Сокольского муниципального округа</t>
  </si>
  <si>
    <t>Муниципальный проект "Поставка сжиженного углеводородного газа населению"</t>
  </si>
  <si>
    <t>Муниципальный проект "Поддержка коммунального хозяйства"</t>
  </si>
  <si>
    <t>Муниципальный проект "Организация уличного освещения"</t>
  </si>
  <si>
    <t>Муниципальный проект "Газификация Сокольского муниципального округа"</t>
  </si>
  <si>
    <t>Выполнены работы по техническому обслуживанию газового хозяйства</t>
  </si>
  <si>
    <t>Приложение 1 к паспору муниципальной программы</t>
  </si>
  <si>
    <t>Выполнены работы по строительству газопровода низкого и высокого давления</t>
  </si>
  <si>
    <t>Муниципальный проект "Строительство и капитальный ремонт объектов теплоэнергетики"</t>
  </si>
  <si>
    <t>Выполнение работ по обеспечению уличного освещения</t>
  </si>
  <si>
    <t>Выполнение работ по организации уличного освещения</t>
  </si>
  <si>
    <t>Выполнение работ по обустройству систем уличного освещения</t>
  </si>
  <si>
    <t>Выполнение мероприятий по снабжению сжиженным углеводородным газом населения для бытовых нужд и отопления</t>
  </si>
  <si>
    <t>Выполнение мероприятий по техническому обслуживанию групповых резервуарных установок сжиженного газа</t>
  </si>
  <si>
    <t>Выполнение мероприятий по компенсации затрат, связанных с реализацией населению области сжиженного углеводородного газа</t>
  </si>
  <si>
    <t xml:space="preserve"> Выполнение мероприятий по строительству, реконструкции и капитальному ремонту централизованных систем водоснабжения и водоотведения</t>
  </si>
  <si>
    <t>Выполнение мероприятия по подготовке объектов теплоэнергетики, находящихся в муниципальной собственности, к работе в осенне-зимний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</si>
</sst>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0" xfId="0" applyNumberFormat="1" applyFont="1"/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8"/>
  <sheetViews>
    <sheetView tabSelected="1" topLeftCell="B1" zoomScaleNormal="100" workbookViewId="0">
      <selection activeCell="D82" sqref="D82"/>
    </sheetView>
  </sheetViews>
  <sheetFormatPr defaultRowHeight="15" x14ac:dyDescent="0.25"/>
  <cols>
    <col min="1" max="1" width="9.140625" style="4"/>
    <col min="2" max="2" width="8.28515625" style="5" customWidth="1"/>
    <col min="3" max="3" width="37.42578125" style="4" customWidth="1"/>
    <col min="4" max="4" width="13.42578125" style="5" customWidth="1"/>
    <col min="5" max="11" width="16.42578125" style="18" customWidth="1"/>
    <col min="12" max="12" width="11.42578125" style="4" bestFit="1" customWidth="1"/>
  </cols>
  <sheetData>
    <row r="1" spans="2:11" ht="15.75" x14ac:dyDescent="0.25">
      <c r="H1" s="41" t="s">
        <v>29</v>
      </c>
      <c r="I1" s="42"/>
      <c r="J1" s="42"/>
      <c r="K1" s="42"/>
    </row>
    <row r="2" spans="2:11" ht="18.75" x14ac:dyDescent="0.25">
      <c r="B2" s="43" t="s">
        <v>18</v>
      </c>
      <c r="C2" s="43"/>
      <c r="D2" s="43"/>
      <c r="E2" s="43"/>
      <c r="F2" s="43"/>
      <c r="G2" s="43"/>
      <c r="H2" s="43"/>
      <c r="I2" s="43"/>
      <c r="J2" s="43"/>
      <c r="K2" s="43"/>
    </row>
    <row r="3" spans="2:11" ht="12" customHeight="1" x14ac:dyDescent="0.25">
      <c r="B3" s="1"/>
    </row>
    <row r="4" spans="2:11" ht="15.75" x14ac:dyDescent="0.25">
      <c r="B4" s="2" t="s">
        <v>0</v>
      </c>
      <c r="C4" s="44" t="s">
        <v>2</v>
      </c>
      <c r="D4" s="45" t="s">
        <v>3</v>
      </c>
      <c r="E4" s="46" t="s">
        <v>16</v>
      </c>
      <c r="F4" s="47"/>
      <c r="G4" s="47"/>
      <c r="H4" s="47"/>
      <c r="I4" s="47"/>
      <c r="J4" s="47"/>
      <c r="K4" s="48"/>
    </row>
    <row r="5" spans="2:11" ht="15.75" x14ac:dyDescent="0.25">
      <c r="B5" s="2" t="s">
        <v>1</v>
      </c>
      <c r="C5" s="44"/>
      <c r="D5" s="45"/>
      <c r="E5" s="19">
        <v>2025</v>
      </c>
      <c r="F5" s="19">
        <v>2026</v>
      </c>
      <c r="G5" s="19">
        <v>2027</v>
      </c>
      <c r="H5" s="19">
        <v>2028</v>
      </c>
      <c r="I5" s="19">
        <v>2029</v>
      </c>
      <c r="J5" s="19">
        <v>2030</v>
      </c>
      <c r="K5" s="19" t="s">
        <v>4</v>
      </c>
    </row>
    <row r="6" spans="2:11" x14ac:dyDescent="0.25">
      <c r="B6" s="6">
        <v>1</v>
      </c>
      <c r="C6" s="6">
        <v>2</v>
      </c>
      <c r="D6" s="6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</row>
    <row r="7" spans="2:11" ht="47.25" x14ac:dyDescent="0.25">
      <c r="B7" s="2">
        <v>1</v>
      </c>
      <c r="C7" s="14" t="s">
        <v>5</v>
      </c>
      <c r="D7" s="15" t="s">
        <v>17</v>
      </c>
      <c r="E7" s="21">
        <f>SUM(E8:E11)</f>
        <v>97516.666669999991</v>
      </c>
      <c r="F7" s="21">
        <f t="shared" ref="F7:J7" si="0">SUM(F8:F11)</f>
        <v>107009.10832999999</v>
      </c>
      <c r="G7" s="21">
        <f t="shared" si="0"/>
        <v>42520.983329999995</v>
      </c>
      <c r="H7" s="21">
        <f t="shared" si="0"/>
        <v>0</v>
      </c>
      <c r="I7" s="21">
        <f t="shared" si="0"/>
        <v>0</v>
      </c>
      <c r="J7" s="21">
        <f t="shared" si="0"/>
        <v>0</v>
      </c>
      <c r="K7" s="21">
        <f>K8+K9+K10+K11</f>
        <v>247046.75832999998</v>
      </c>
    </row>
    <row r="8" spans="2:11" ht="15.75" x14ac:dyDescent="0.25">
      <c r="B8" s="2">
        <v>2</v>
      </c>
      <c r="C8" s="3"/>
      <c r="D8" s="2" t="s">
        <v>6</v>
      </c>
      <c r="E8" s="22">
        <f>E13+E18+E23+E28+E33+E38+E43+E48+E53+E58+E63</f>
        <v>14666.96667</v>
      </c>
      <c r="F8" s="23">
        <f>F13+F18+F23+F28+F33+F38+F43+F48+F53+F58+F63</f>
        <v>17817.508330000001</v>
      </c>
      <c r="G8" s="22">
        <f>G13+G18+G23+G28+G33+G38+G43+G48+G53+G58+G63</f>
        <v>15237.983329999997</v>
      </c>
      <c r="H8" s="22">
        <f>H13+H18+H23+H28+H33+H38+H43+H48+H53+H58+H63+H68+H108</f>
        <v>0</v>
      </c>
      <c r="I8" s="22">
        <f>I13+I18+I23+I28+I33+I38+I43+I48+I53+I58+I63+I68+I108</f>
        <v>0</v>
      </c>
      <c r="J8" s="22">
        <f>J13+J18+J23+J28+J33+J38+J43+J48+J53+J58+J63+J68+J108</f>
        <v>0</v>
      </c>
      <c r="K8" s="22">
        <f>E8+F8+G8+H8+I8+J8</f>
        <v>47722.458329999994</v>
      </c>
    </row>
    <row r="9" spans="2:11" ht="15.75" x14ac:dyDescent="0.25">
      <c r="B9" s="2">
        <v>3</v>
      </c>
      <c r="C9" s="3"/>
      <c r="D9" s="2" t="s">
        <v>7</v>
      </c>
      <c r="E9" s="22">
        <f t="shared" ref="E9:J9" si="1">E14+E19+E24+E29+E34+E39+E44+E49+E54+E59+E64+E69</f>
        <v>0</v>
      </c>
      <c r="F9" s="23">
        <f t="shared" si="1"/>
        <v>0</v>
      </c>
      <c r="G9" s="22">
        <f t="shared" si="1"/>
        <v>0</v>
      </c>
      <c r="H9" s="22">
        <f t="shared" si="1"/>
        <v>0</v>
      </c>
      <c r="I9" s="22">
        <f t="shared" si="1"/>
        <v>0</v>
      </c>
      <c r="J9" s="22">
        <f t="shared" si="1"/>
        <v>0</v>
      </c>
      <c r="K9" s="22">
        <f t="shared" ref="K9:K11" si="2">E9+F9+G9+H9+I9+J9</f>
        <v>0</v>
      </c>
    </row>
    <row r="10" spans="2:11" ht="15.75" x14ac:dyDescent="0.25">
      <c r="B10" s="2">
        <v>4</v>
      </c>
      <c r="C10" s="3"/>
      <c r="D10" s="2" t="s">
        <v>8</v>
      </c>
      <c r="E10" s="22">
        <f>E15+E20+E25+E30+E35+E40+E45+E50+E55+E60+E65+E70+E110</f>
        <v>82849.7</v>
      </c>
      <c r="F10" s="23">
        <f>F15+F20+F25+F30+F35+F40+F45+F50+F55+F60+F65+F70</f>
        <v>89191.599999999991</v>
      </c>
      <c r="G10" s="22">
        <f>G15+G20+G25+G30+G35+G40+G45+G50+G55+G60+G65+G70+G110</f>
        <v>27282.999999999996</v>
      </c>
      <c r="H10" s="22">
        <f>H15+H20+H25+H30+H35+H40+H45+H50+H55+H60+H65+H70+H110</f>
        <v>0</v>
      </c>
      <c r="I10" s="22">
        <f>I15+I20+I25+I30+I35+I40+I45+I50+I55+I60+I65+I70+I110</f>
        <v>0</v>
      </c>
      <c r="J10" s="22">
        <f>J15+J20+J25+J30+J35+J40+J45+J50+J55+J60+J65+J70+J110</f>
        <v>0</v>
      </c>
      <c r="K10" s="22">
        <f t="shared" si="2"/>
        <v>199324.3</v>
      </c>
    </row>
    <row r="11" spans="2:11" ht="15.75" x14ac:dyDescent="0.25">
      <c r="B11" s="2">
        <v>5</v>
      </c>
      <c r="C11" s="3"/>
      <c r="D11" s="2" t="s">
        <v>9</v>
      </c>
      <c r="E11" s="22">
        <f>E16+E21+E26+E31+E36+E41+E46+E51+E56+E61+E66+E71</f>
        <v>0</v>
      </c>
      <c r="F11" s="22">
        <f>F16+F21+F26+F31+F36+F41+F46+F51+F56+F61+F66+F71</f>
        <v>0</v>
      </c>
      <c r="G11" s="22">
        <f>G16+G21+G26+G31+G36+G41+G46+G51+G56+G61+G66+G71</f>
        <v>0</v>
      </c>
      <c r="H11" s="22">
        <f>H16+H21+H26+H31+H36+H41+H46+H51+H56+H61+H66+H71</f>
        <v>0</v>
      </c>
      <c r="I11" s="22">
        <f>I16+I21+I26+I31+I36+I41+I46+I51+I56+I61+I66+I71</f>
        <v>0</v>
      </c>
      <c r="J11" s="22">
        <f>J16+J21+J26+J31+J36+J41+J46+J51+J56+J61+J66+J71</f>
        <v>0</v>
      </c>
      <c r="K11" s="22">
        <f t="shared" si="2"/>
        <v>0</v>
      </c>
    </row>
    <row r="12" spans="2:11" ht="47.25" x14ac:dyDescent="0.25">
      <c r="B12" s="2">
        <v>1</v>
      </c>
      <c r="C12" s="14" t="s">
        <v>19</v>
      </c>
      <c r="D12" s="15" t="s">
        <v>17</v>
      </c>
      <c r="E12" s="21">
        <f>SUM(E13:E16)</f>
        <v>64436.954169999997</v>
      </c>
      <c r="F12" s="21">
        <f t="shared" ref="F12:J12" si="3">SUM(F13:F16)</f>
        <v>63875</v>
      </c>
      <c r="G12" s="21">
        <f t="shared" si="3"/>
        <v>4000</v>
      </c>
      <c r="H12" s="21">
        <f t="shared" si="3"/>
        <v>0</v>
      </c>
      <c r="I12" s="21">
        <f t="shared" si="3"/>
        <v>0</v>
      </c>
      <c r="J12" s="21">
        <f t="shared" si="3"/>
        <v>0</v>
      </c>
      <c r="K12" s="21">
        <f>K13+K14+K15+K16</f>
        <v>132311.95417000001</v>
      </c>
    </row>
    <row r="13" spans="2:11" ht="15.75" x14ac:dyDescent="0.25">
      <c r="B13" s="2">
        <v>2</v>
      </c>
      <c r="C13" s="3"/>
      <c r="D13" s="2" t="s">
        <v>6</v>
      </c>
      <c r="E13" s="24">
        <f>4433.35417</f>
        <v>4433.3541699999996</v>
      </c>
      <c r="F13" s="24">
        <f>6395</f>
        <v>6395</v>
      </c>
      <c r="G13" s="24">
        <f>4000</f>
        <v>4000</v>
      </c>
      <c r="H13" s="24">
        <v>0</v>
      </c>
      <c r="I13" s="24">
        <v>0</v>
      </c>
      <c r="J13" s="24">
        <v>0</v>
      </c>
      <c r="K13" s="24">
        <f>E13+F13+G13+H13+I13+J13</f>
        <v>14828.354169999999</v>
      </c>
    </row>
    <row r="14" spans="2:11" ht="15.75" x14ac:dyDescent="0.25">
      <c r="B14" s="2">
        <v>3</v>
      </c>
      <c r="C14" s="3"/>
      <c r="D14" s="2" t="s">
        <v>7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f t="shared" ref="K14:K16" si="4">E14+F14+G14+H14+I14+J14</f>
        <v>0</v>
      </c>
    </row>
    <row r="15" spans="2:11" ht="15.75" x14ac:dyDescent="0.25">
      <c r="B15" s="2">
        <v>4</v>
      </c>
      <c r="C15" s="3"/>
      <c r="D15" s="2" t="s">
        <v>8</v>
      </c>
      <c r="E15" s="24">
        <f>58400.5+1603.1</f>
        <v>60003.6</v>
      </c>
      <c r="F15" s="24">
        <f>16200+41280</f>
        <v>57480</v>
      </c>
      <c r="G15" s="24">
        <v>0</v>
      </c>
      <c r="H15" s="24">
        <v>0</v>
      </c>
      <c r="I15" s="24">
        <v>0</v>
      </c>
      <c r="J15" s="24">
        <v>0</v>
      </c>
      <c r="K15" s="24">
        <f t="shared" si="4"/>
        <v>117483.6</v>
      </c>
    </row>
    <row r="16" spans="2:11" ht="15.75" x14ac:dyDescent="0.25">
      <c r="B16" s="2">
        <v>5</v>
      </c>
      <c r="C16" s="3"/>
      <c r="D16" s="2" t="s">
        <v>9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f t="shared" si="4"/>
        <v>0</v>
      </c>
    </row>
    <row r="17" spans="2:12" ht="47.25" x14ac:dyDescent="0.25">
      <c r="B17" s="12">
        <v>1</v>
      </c>
      <c r="C17" s="14" t="s">
        <v>23</v>
      </c>
      <c r="D17" s="15" t="s">
        <v>17</v>
      </c>
      <c r="E17" s="21">
        <f>SUM(E18:E21)</f>
        <v>0</v>
      </c>
      <c r="F17" s="21">
        <f>SUM(F18:F21)</f>
        <v>0</v>
      </c>
      <c r="G17" s="21">
        <f t="shared" ref="G17:J17" si="5">SUM(G18:G21)</f>
        <v>0</v>
      </c>
      <c r="H17" s="21">
        <f t="shared" si="5"/>
        <v>0</v>
      </c>
      <c r="I17" s="21">
        <f t="shared" si="5"/>
        <v>0</v>
      </c>
      <c r="J17" s="21">
        <f t="shared" si="5"/>
        <v>0</v>
      </c>
      <c r="K17" s="21">
        <f>K18+K19+K20+K21</f>
        <v>0</v>
      </c>
    </row>
    <row r="18" spans="2:12" ht="15.75" x14ac:dyDescent="0.25">
      <c r="B18" s="12">
        <v>2</v>
      </c>
      <c r="C18" s="11"/>
      <c r="D18" s="12" t="s">
        <v>6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f>E18+F18+G18+H18+I18+J18</f>
        <v>0</v>
      </c>
    </row>
    <row r="19" spans="2:12" ht="15.75" x14ac:dyDescent="0.25">
      <c r="B19" s="12">
        <v>3</v>
      </c>
      <c r="C19" s="11"/>
      <c r="D19" s="12" t="s">
        <v>7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f t="shared" ref="K19:K21" si="6">E19+F19+G19+H19+I19+J19</f>
        <v>0</v>
      </c>
    </row>
    <row r="20" spans="2:12" ht="15.75" x14ac:dyDescent="0.25">
      <c r="B20" s="12">
        <v>4</v>
      </c>
      <c r="C20" s="11"/>
      <c r="D20" s="12" t="s">
        <v>8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f t="shared" si="6"/>
        <v>0</v>
      </c>
    </row>
    <row r="21" spans="2:12" ht="15.75" x14ac:dyDescent="0.25">
      <c r="B21" s="12">
        <v>5</v>
      </c>
      <c r="C21" s="11"/>
      <c r="D21" s="12" t="s">
        <v>9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f t="shared" si="6"/>
        <v>0</v>
      </c>
    </row>
    <row r="22" spans="2:12" ht="47.25" x14ac:dyDescent="0.25">
      <c r="B22" s="8">
        <v>1</v>
      </c>
      <c r="C22" s="14" t="s">
        <v>20</v>
      </c>
      <c r="D22" s="15" t="s">
        <v>17</v>
      </c>
      <c r="E22" s="21">
        <f>SUM(E23:E26)</f>
        <v>24222.212499999998</v>
      </c>
      <c r="F22" s="21">
        <f>SUM(F23:F26)</f>
        <v>28401.06667</v>
      </c>
      <c r="G22" s="21">
        <f t="shared" ref="G22:J22" si="7">SUM(G23:G26)</f>
        <v>27359.400020000001</v>
      </c>
      <c r="H22" s="21">
        <f t="shared" si="7"/>
        <v>0</v>
      </c>
      <c r="I22" s="21">
        <f t="shared" si="7"/>
        <v>0</v>
      </c>
      <c r="J22" s="21">
        <f t="shared" si="7"/>
        <v>0</v>
      </c>
      <c r="K22" s="21">
        <f>K23+K24+K25+K26</f>
        <v>79982.679189999995</v>
      </c>
      <c r="L22" s="10"/>
    </row>
    <row r="23" spans="2:12" ht="15.75" x14ac:dyDescent="0.25">
      <c r="B23" s="8">
        <v>2</v>
      </c>
      <c r="C23" s="7"/>
      <c r="D23" s="8" t="s">
        <v>6</v>
      </c>
      <c r="E23" s="23">
        <f>7001.1125</f>
        <v>7001.1125000000002</v>
      </c>
      <c r="F23" s="23">
        <f>7600.26667</f>
        <v>7600.26667</v>
      </c>
      <c r="G23" s="23">
        <f>7558.60002</f>
        <v>7558.6000199999999</v>
      </c>
      <c r="H23" s="23">
        <v>0</v>
      </c>
      <c r="I23" s="23">
        <v>0</v>
      </c>
      <c r="J23" s="23">
        <v>0</v>
      </c>
      <c r="K23" s="23">
        <f>E23+F23+G23+H23+I23+J23</f>
        <v>22159.979189999998</v>
      </c>
    </row>
    <row r="24" spans="2:12" ht="15.75" x14ac:dyDescent="0.25">
      <c r="B24" s="8">
        <v>3</v>
      </c>
      <c r="C24" s="7"/>
      <c r="D24" s="8" t="s">
        <v>7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f t="shared" ref="K24:K26" si="8">E24+F24+G24+H24+I24+J24</f>
        <v>0</v>
      </c>
    </row>
    <row r="25" spans="2:12" ht="15.75" x14ac:dyDescent="0.25">
      <c r="B25" s="8">
        <v>4</v>
      </c>
      <c r="C25" s="7"/>
      <c r="D25" s="8" t="s">
        <v>8</v>
      </c>
      <c r="E25" s="23">
        <f>12800.8+4420.3</f>
        <v>17221.099999999999</v>
      </c>
      <c r="F25" s="23">
        <f>12800.8+8000</f>
        <v>20800.8</v>
      </c>
      <c r="G25" s="23">
        <f>12800.8+7000</f>
        <v>19800.8</v>
      </c>
      <c r="H25" s="23">
        <v>0</v>
      </c>
      <c r="I25" s="23">
        <v>0</v>
      </c>
      <c r="J25" s="23">
        <v>0</v>
      </c>
      <c r="K25" s="23">
        <f t="shared" si="8"/>
        <v>57822.7</v>
      </c>
    </row>
    <row r="26" spans="2:12" ht="15.75" x14ac:dyDescent="0.25">
      <c r="B26" s="8">
        <v>5</v>
      </c>
      <c r="C26" s="7"/>
      <c r="D26" s="8" t="s">
        <v>9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f t="shared" si="8"/>
        <v>0</v>
      </c>
    </row>
    <row r="27" spans="2:12" ht="47.25" x14ac:dyDescent="0.25">
      <c r="B27" s="8">
        <v>1</v>
      </c>
      <c r="C27" s="14" t="s">
        <v>21</v>
      </c>
      <c r="D27" s="15" t="s">
        <v>17</v>
      </c>
      <c r="E27" s="21">
        <f>SUM(E28:E31)</f>
        <v>2960</v>
      </c>
      <c r="F27" s="21">
        <f t="shared" ref="F27:J27" si="9">SUM(F28:F31)</f>
        <v>3675</v>
      </c>
      <c r="G27" s="21">
        <f t="shared" si="9"/>
        <v>3675</v>
      </c>
      <c r="H27" s="21">
        <f t="shared" si="9"/>
        <v>0</v>
      </c>
      <c r="I27" s="21">
        <f t="shared" si="9"/>
        <v>0</v>
      </c>
      <c r="J27" s="21">
        <f t="shared" si="9"/>
        <v>0</v>
      </c>
      <c r="K27" s="21">
        <f>K28+K29+K30+K31</f>
        <v>10310</v>
      </c>
    </row>
    <row r="28" spans="2:12" ht="15.75" x14ac:dyDescent="0.25">
      <c r="B28" s="8">
        <v>2</v>
      </c>
      <c r="C28" s="7"/>
      <c r="D28" s="8" t="s">
        <v>6</v>
      </c>
      <c r="E28" s="23">
        <f>1010</f>
        <v>1010</v>
      </c>
      <c r="F28" s="23">
        <f>1125</f>
        <v>1125</v>
      </c>
      <c r="G28" s="23">
        <f>1125</f>
        <v>1125</v>
      </c>
      <c r="H28" s="23">
        <v>0</v>
      </c>
      <c r="I28" s="23">
        <v>0</v>
      </c>
      <c r="J28" s="23">
        <v>0</v>
      </c>
      <c r="K28" s="19">
        <f>E28+F28+G28+H28+I28+J28</f>
        <v>3260</v>
      </c>
    </row>
    <row r="29" spans="2:12" ht="15.75" x14ac:dyDescent="0.25">
      <c r="B29" s="8">
        <v>3</v>
      </c>
      <c r="C29" s="7"/>
      <c r="D29" s="8" t="s">
        <v>7</v>
      </c>
      <c r="E29" s="23">
        <v>0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19">
        <f t="shared" ref="K29:K31" si="10">E29+F29+G29+H29+I29+J29</f>
        <v>0</v>
      </c>
    </row>
    <row r="30" spans="2:12" ht="15.75" x14ac:dyDescent="0.25">
      <c r="B30" s="8">
        <v>4</v>
      </c>
      <c r="C30" s="7"/>
      <c r="D30" s="8" t="s">
        <v>8</v>
      </c>
      <c r="E30" s="23">
        <f>1950</f>
        <v>1950</v>
      </c>
      <c r="F30" s="23">
        <f>1950+600</f>
        <v>2550</v>
      </c>
      <c r="G30" s="23">
        <f>1950+600</f>
        <v>2550</v>
      </c>
      <c r="H30" s="23">
        <v>0</v>
      </c>
      <c r="I30" s="23">
        <v>0</v>
      </c>
      <c r="J30" s="23">
        <v>0</v>
      </c>
      <c r="K30" s="19">
        <f t="shared" si="10"/>
        <v>7050</v>
      </c>
    </row>
    <row r="31" spans="2:12" ht="15.75" x14ac:dyDescent="0.25">
      <c r="B31" s="8">
        <v>5</v>
      </c>
      <c r="C31" s="7"/>
      <c r="D31" s="8" t="s">
        <v>9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19">
        <f t="shared" si="10"/>
        <v>0</v>
      </c>
    </row>
    <row r="32" spans="2:12" ht="47.25" x14ac:dyDescent="0.25">
      <c r="B32" s="8">
        <v>1</v>
      </c>
      <c r="C32" s="14" t="s">
        <v>15</v>
      </c>
      <c r="D32" s="15" t="s">
        <v>17</v>
      </c>
      <c r="E32" s="21">
        <f>SUM(E33:E36)</f>
        <v>1200</v>
      </c>
      <c r="F32" s="21">
        <f t="shared" ref="F32:J32" si="11">SUM(F33:F36)</f>
        <v>2341.6666700000001</v>
      </c>
      <c r="G32" s="21">
        <f t="shared" si="11"/>
        <v>1508.3333299999999</v>
      </c>
      <c r="H32" s="21">
        <f t="shared" si="11"/>
        <v>0</v>
      </c>
      <c r="I32" s="21">
        <f t="shared" si="11"/>
        <v>0</v>
      </c>
      <c r="J32" s="21">
        <f t="shared" si="11"/>
        <v>0</v>
      </c>
      <c r="K32" s="21">
        <f>K33+K34+K35+K36</f>
        <v>5050</v>
      </c>
    </row>
    <row r="33" spans="2:11" ht="15.75" x14ac:dyDescent="0.25">
      <c r="B33" s="8">
        <v>2</v>
      </c>
      <c r="C33" s="7"/>
      <c r="D33" s="8" t="s">
        <v>6</v>
      </c>
      <c r="E33" s="23">
        <f>487.5</f>
        <v>487.5</v>
      </c>
      <c r="F33" s="23">
        <f>629.16667</f>
        <v>629.16666999999995</v>
      </c>
      <c r="G33" s="23">
        <f>595.83333</f>
        <v>595.83333000000005</v>
      </c>
      <c r="H33" s="23">
        <v>0</v>
      </c>
      <c r="I33" s="23">
        <v>0</v>
      </c>
      <c r="J33" s="23">
        <v>0</v>
      </c>
      <c r="K33" s="19">
        <f>E33+F33+G33+H33+I33+J33</f>
        <v>1712.5</v>
      </c>
    </row>
    <row r="34" spans="2:11" ht="15.75" x14ac:dyDescent="0.25">
      <c r="B34" s="8">
        <v>3</v>
      </c>
      <c r="C34" s="7"/>
      <c r="D34" s="8" t="s">
        <v>7</v>
      </c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19">
        <f t="shared" ref="K34:K36" si="12">E34+F34+G34+H34+I34+J34</f>
        <v>0</v>
      </c>
    </row>
    <row r="35" spans="2:11" ht="15.75" x14ac:dyDescent="0.25">
      <c r="B35" s="8">
        <v>4</v>
      </c>
      <c r="C35" s="7"/>
      <c r="D35" s="8" t="s">
        <v>8</v>
      </c>
      <c r="E35" s="23">
        <f>712.5</f>
        <v>712.5</v>
      </c>
      <c r="F35" s="23">
        <f>712.5+1000</f>
        <v>1712.5</v>
      </c>
      <c r="G35" s="23">
        <f>712.5+200</f>
        <v>912.5</v>
      </c>
      <c r="H35" s="23">
        <v>0</v>
      </c>
      <c r="I35" s="23">
        <v>0</v>
      </c>
      <c r="J35" s="23">
        <v>0</v>
      </c>
      <c r="K35" s="19">
        <f t="shared" si="12"/>
        <v>3337.5</v>
      </c>
    </row>
    <row r="36" spans="2:11" ht="15.75" x14ac:dyDescent="0.25">
      <c r="B36" s="8">
        <v>5</v>
      </c>
      <c r="C36" s="7"/>
      <c r="D36" s="8" t="s">
        <v>9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19">
        <f t="shared" si="12"/>
        <v>0</v>
      </c>
    </row>
    <row r="37" spans="2:11" ht="47.25" x14ac:dyDescent="0.25">
      <c r="B37" s="8">
        <v>1</v>
      </c>
      <c r="C37" s="14" t="s">
        <v>14</v>
      </c>
      <c r="D37" s="15" t="s">
        <v>17</v>
      </c>
      <c r="E37" s="21">
        <f>SUM(E38:E41)</f>
        <v>538</v>
      </c>
      <c r="F37" s="21">
        <f t="shared" ref="F37:J37" si="13">SUM(F38:F41)</f>
        <v>1195</v>
      </c>
      <c r="G37" s="21">
        <f t="shared" si="13"/>
        <v>778.33332999999993</v>
      </c>
      <c r="H37" s="21">
        <f t="shared" si="13"/>
        <v>0</v>
      </c>
      <c r="I37" s="21">
        <f t="shared" si="13"/>
        <v>0</v>
      </c>
      <c r="J37" s="21">
        <f t="shared" si="13"/>
        <v>0</v>
      </c>
      <c r="K37" s="21">
        <f>K38+K39+K40+K41</f>
        <v>2511.3333299999999</v>
      </c>
    </row>
    <row r="38" spans="2:11" ht="15.75" x14ac:dyDescent="0.25">
      <c r="B38" s="8">
        <v>2</v>
      </c>
      <c r="C38" s="7"/>
      <c r="D38" s="8" t="s">
        <v>6</v>
      </c>
      <c r="E38" s="23">
        <f>185.5</f>
        <v>185.5</v>
      </c>
      <c r="F38" s="23">
        <f>242.5</f>
        <v>242.5</v>
      </c>
      <c r="G38" s="23">
        <f>225.83333</f>
        <v>225.83332999999999</v>
      </c>
      <c r="H38" s="23">
        <v>0</v>
      </c>
      <c r="I38" s="23">
        <v>0</v>
      </c>
      <c r="J38" s="23">
        <v>0</v>
      </c>
      <c r="K38" s="19">
        <f>E38+F38+G38+H38+I38+J38</f>
        <v>653.83332999999993</v>
      </c>
    </row>
    <row r="39" spans="2:11" ht="15.75" x14ac:dyDescent="0.25">
      <c r="B39" s="8">
        <v>3</v>
      </c>
      <c r="C39" s="7"/>
      <c r="D39" s="8" t="s">
        <v>7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19">
        <f t="shared" ref="K39:K41" si="14">E39+F39+G39+H39+I39+J39</f>
        <v>0</v>
      </c>
    </row>
    <row r="40" spans="2:11" ht="15.75" x14ac:dyDescent="0.25">
      <c r="B40" s="8">
        <v>4</v>
      </c>
      <c r="C40" s="7"/>
      <c r="D40" s="8" t="s">
        <v>8</v>
      </c>
      <c r="E40" s="23">
        <f>352.5</f>
        <v>352.5</v>
      </c>
      <c r="F40" s="23">
        <f>352.5+600</f>
        <v>952.5</v>
      </c>
      <c r="G40" s="23">
        <f>352.5+200</f>
        <v>552.5</v>
      </c>
      <c r="H40" s="23">
        <v>0</v>
      </c>
      <c r="I40" s="23">
        <v>0</v>
      </c>
      <c r="J40" s="23">
        <v>0</v>
      </c>
      <c r="K40" s="19">
        <f t="shared" si="14"/>
        <v>1857.5</v>
      </c>
    </row>
    <row r="41" spans="2:11" ht="15.75" x14ac:dyDescent="0.25">
      <c r="B41" s="8">
        <v>5</v>
      </c>
      <c r="C41" s="7"/>
      <c r="D41" s="8" t="s">
        <v>9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19">
        <f t="shared" si="14"/>
        <v>0</v>
      </c>
    </row>
    <row r="42" spans="2:11" ht="47.25" x14ac:dyDescent="0.25">
      <c r="B42" s="8">
        <v>1</v>
      </c>
      <c r="C42" s="14" t="s">
        <v>13</v>
      </c>
      <c r="D42" s="15" t="s">
        <v>17</v>
      </c>
      <c r="E42" s="21">
        <f>SUM(E43:E46)</f>
        <v>790</v>
      </c>
      <c r="F42" s="21">
        <f t="shared" ref="F42:J42" si="15">SUM(F43:F46)</f>
        <v>1355.5208300000002</v>
      </c>
      <c r="G42" s="21">
        <f t="shared" si="15"/>
        <v>923.95833000000005</v>
      </c>
      <c r="H42" s="21">
        <f t="shared" si="15"/>
        <v>0</v>
      </c>
      <c r="I42" s="21">
        <f t="shared" si="15"/>
        <v>0</v>
      </c>
      <c r="J42" s="21">
        <f t="shared" si="15"/>
        <v>0</v>
      </c>
      <c r="K42" s="21">
        <f>K43+K44+K45+K46</f>
        <v>3069.4791599999999</v>
      </c>
    </row>
    <row r="43" spans="2:11" ht="15.75" x14ac:dyDescent="0.25">
      <c r="B43" s="8">
        <v>2</v>
      </c>
      <c r="C43" s="16"/>
      <c r="D43" s="8" t="s">
        <v>6</v>
      </c>
      <c r="E43" s="23">
        <f>272.5</f>
        <v>272.5</v>
      </c>
      <c r="F43" s="23">
        <f>295.12083</f>
        <v>295.12083000000001</v>
      </c>
      <c r="G43" s="23">
        <f>277.85833</f>
        <v>277.85833000000002</v>
      </c>
      <c r="H43" s="23">
        <v>0</v>
      </c>
      <c r="I43" s="23">
        <v>0</v>
      </c>
      <c r="J43" s="23">
        <v>0</v>
      </c>
      <c r="K43" s="23">
        <f>E43+F43+G43+H43+I43+J43</f>
        <v>845.47916000000009</v>
      </c>
    </row>
    <row r="44" spans="2:11" ht="15.75" x14ac:dyDescent="0.25">
      <c r="B44" s="8">
        <v>3</v>
      </c>
      <c r="C44" s="16"/>
      <c r="D44" s="8" t="s">
        <v>7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f t="shared" ref="K44:K46" si="16">E44+F44+G44+H44+I44+J44</f>
        <v>0</v>
      </c>
    </row>
    <row r="45" spans="2:11" ht="15.75" x14ac:dyDescent="0.25">
      <c r="B45" s="8">
        <v>4</v>
      </c>
      <c r="C45" s="16"/>
      <c r="D45" s="8" t="s">
        <v>8</v>
      </c>
      <c r="E45" s="23">
        <f>517.5</f>
        <v>517.5</v>
      </c>
      <c r="F45" s="23">
        <f>517.5+542.9</f>
        <v>1060.4000000000001</v>
      </c>
      <c r="G45" s="23">
        <f>517.5+128.6</f>
        <v>646.1</v>
      </c>
      <c r="H45" s="23">
        <v>0</v>
      </c>
      <c r="I45" s="23">
        <v>0</v>
      </c>
      <c r="J45" s="23">
        <v>0</v>
      </c>
      <c r="K45" s="23">
        <f t="shared" si="16"/>
        <v>2224</v>
      </c>
    </row>
    <row r="46" spans="2:11" ht="15.75" x14ac:dyDescent="0.25">
      <c r="B46" s="8">
        <v>5</v>
      </c>
      <c r="C46" s="16"/>
      <c r="D46" s="8" t="s">
        <v>9</v>
      </c>
      <c r="E46" s="23"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f t="shared" si="16"/>
        <v>0</v>
      </c>
    </row>
    <row r="47" spans="2:11" ht="47.25" x14ac:dyDescent="0.25">
      <c r="B47" s="8">
        <v>1</v>
      </c>
      <c r="C47" s="14" t="s">
        <v>12</v>
      </c>
      <c r="D47" s="15" t="s">
        <v>17</v>
      </c>
      <c r="E47" s="21">
        <f>SUM(E48:E51)</f>
        <v>788.5</v>
      </c>
      <c r="F47" s="21">
        <f t="shared" ref="F47:J47" si="17">SUM(F48:F51)</f>
        <v>1259.3333299999999</v>
      </c>
      <c r="G47" s="21">
        <f t="shared" si="17"/>
        <v>946.83332999999993</v>
      </c>
      <c r="H47" s="21">
        <f t="shared" si="17"/>
        <v>0</v>
      </c>
      <c r="I47" s="21">
        <f t="shared" si="17"/>
        <v>0</v>
      </c>
      <c r="J47" s="21">
        <f t="shared" si="17"/>
        <v>0</v>
      </c>
      <c r="K47" s="21">
        <f>K48+K49+K50+K51</f>
        <v>2994.6666599999999</v>
      </c>
    </row>
    <row r="48" spans="2:11" ht="15.75" x14ac:dyDescent="0.25">
      <c r="B48" s="8">
        <v>2</v>
      </c>
      <c r="C48" s="16"/>
      <c r="D48" s="8" t="s">
        <v>6</v>
      </c>
      <c r="E48" s="23">
        <f>271</f>
        <v>271</v>
      </c>
      <c r="F48" s="23">
        <f>241.83333</f>
        <v>241.83332999999999</v>
      </c>
      <c r="G48" s="23">
        <f>229.33333</f>
        <v>229.33332999999999</v>
      </c>
      <c r="H48" s="23">
        <v>0</v>
      </c>
      <c r="I48" s="23">
        <v>0</v>
      </c>
      <c r="J48" s="23">
        <v>0</v>
      </c>
      <c r="K48" s="23">
        <f>E48+F48+G48+H48+I48+J48</f>
        <v>742.16665999999987</v>
      </c>
    </row>
    <row r="49" spans="2:11" ht="15.75" x14ac:dyDescent="0.25">
      <c r="B49" s="8">
        <v>3</v>
      </c>
      <c r="C49" s="16"/>
      <c r="D49" s="8" t="s">
        <v>7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f t="shared" ref="K49:K51" si="18">E49+F49+G49+H49+I49+J49</f>
        <v>0</v>
      </c>
    </row>
    <row r="50" spans="2:11" ht="15.75" x14ac:dyDescent="0.25">
      <c r="B50" s="8">
        <v>4</v>
      </c>
      <c r="C50" s="16"/>
      <c r="D50" s="8" t="s">
        <v>8</v>
      </c>
      <c r="E50" s="23">
        <f>517.5</f>
        <v>517.5</v>
      </c>
      <c r="F50" s="23">
        <f>517.5+500</f>
        <v>1017.5</v>
      </c>
      <c r="G50" s="23">
        <f>517.5+200</f>
        <v>717.5</v>
      </c>
      <c r="H50" s="23">
        <v>0</v>
      </c>
      <c r="I50" s="23">
        <v>0</v>
      </c>
      <c r="J50" s="23">
        <v>0</v>
      </c>
      <c r="K50" s="23">
        <f t="shared" si="18"/>
        <v>2252.5</v>
      </c>
    </row>
    <row r="51" spans="2:11" ht="15.75" x14ac:dyDescent="0.25">
      <c r="B51" s="8">
        <v>5</v>
      </c>
      <c r="C51" s="16"/>
      <c r="D51" s="8" t="s">
        <v>9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f t="shared" si="18"/>
        <v>0</v>
      </c>
    </row>
    <row r="52" spans="2:11" ht="47.25" x14ac:dyDescent="0.25">
      <c r="B52" s="8">
        <v>1</v>
      </c>
      <c r="C52" s="14" t="s">
        <v>11</v>
      </c>
      <c r="D52" s="15" t="s">
        <v>17</v>
      </c>
      <c r="E52" s="21">
        <f>SUM(E53:E56)</f>
        <v>569</v>
      </c>
      <c r="F52" s="21">
        <f t="shared" ref="F52:J52" si="19">SUM(F53:F56)</f>
        <v>1124.8333299999999</v>
      </c>
      <c r="G52" s="21">
        <f t="shared" si="19"/>
        <v>812.33332999999993</v>
      </c>
      <c r="H52" s="21">
        <f t="shared" si="19"/>
        <v>0</v>
      </c>
      <c r="I52" s="21">
        <f t="shared" si="19"/>
        <v>0</v>
      </c>
      <c r="J52" s="21">
        <f t="shared" si="19"/>
        <v>0</v>
      </c>
      <c r="K52" s="21">
        <f>K53+K54+K55+K56</f>
        <v>2506.1666599999999</v>
      </c>
    </row>
    <row r="53" spans="2:11" ht="15.75" x14ac:dyDescent="0.25">
      <c r="B53" s="8">
        <v>2</v>
      </c>
      <c r="C53" s="16"/>
      <c r="D53" s="8" t="s">
        <v>6</v>
      </c>
      <c r="E53" s="23">
        <f>201.5</f>
        <v>201.5</v>
      </c>
      <c r="F53" s="23">
        <f>257.33333</f>
        <v>257.33332999999999</v>
      </c>
      <c r="G53" s="23">
        <f>244.83333</f>
        <v>244.83332999999999</v>
      </c>
      <c r="H53" s="23">
        <v>0</v>
      </c>
      <c r="I53" s="23">
        <v>0</v>
      </c>
      <c r="J53" s="23">
        <v>0</v>
      </c>
      <c r="K53" s="19">
        <f>E53+F53+G53+H53+I53+J53</f>
        <v>703.66665999999998</v>
      </c>
    </row>
    <row r="54" spans="2:11" ht="15.75" x14ac:dyDescent="0.25">
      <c r="B54" s="8">
        <v>3</v>
      </c>
      <c r="C54" s="16"/>
      <c r="D54" s="8" t="s">
        <v>7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19">
        <f t="shared" ref="K54:K56" si="20">E54+F54+G54+H54+I54+J54</f>
        <v>0</v>
      </c>
    </row>
    <row r="55" spans="2:11" ht="15.75" x14ac:dyDescent="0.25">
      <c r="B55" s="8">
        <v>4</v>
      </c>
      <c r="C55" s="16"/>
      <c r="D55" s="8" t="s">
        <v>8</v>
      </c>
      <c r="E55" s="23">
        <f>367.5</f>
        <v>367.5</v>
      </c>
      <c r="F55" s="23">
        <f>367.5+500</f>
        <v>867.5</v>
      </c>
      <c r="G55" s="23">
        <f>367.5+200</f>
        <v>567.5</v>
      </c>
      <c r="H55" s="23">
        <v>0</v>
      </c>
      <c r="I55" s="23">
        <v>0</v>
      </c>
      <c r="J55" s="23">
        <v>0</v>
      </c>
      <c r="K55" s="19">
        <f t="shared" si="20"/>
        <v>1802.5</v>
      </c>
    </row>
    <row r="56" spans="2:11" ht="15.75" x14ac:dyDescent="0.25">
      <c r="B56" s="8">
        <v>5</v>
      </c>
      <c r="C56" s="16"/>
      <c r="D56" s="8" t="s">
        <v>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19">
        <f t="shared" si="20"/>
        <v>0</v>
      </c>
    </row>
    <row r="57" spans="2:11" ht="47.25" x14ac:dyDescent="0.25">
      <c r="B57" s="8">
        <v>1</v>
      </c>
      <c r="C57" s="14" t="s">
        <v>10</v>
      </c>
      <c r="D57" s="15" t="s">
        <v>17</v>
      </c>
      <c r="E57" s="21">
        <f>SUM(E58:E61)</f>
        <v>1717.5</v>
      </c>
      <c r="F57" s="21">
        <f t="shared" ref="F57:J57" si="21">SUM(F58:F61)</f>
        <v>2921.6666700000001</v>
      </c>
      <c r="G57" s="21">
        <f t="shared" si="21"/>
        <v>2088.3333299999999</v>
      </c>
      <c r="H57" s="21">
        <f t="shared" si="21"/>
        <v>0</v>
      </c>
      <c r="I57" s="21">
        <f t="shared" si="21"/>
        <v>0</v>
      </c>
      <c r="J57" s="21">
        <f t="shared" si="21"/>
        <v>0</v>
      </c>
      <c r="K57" s="21">
        <f>K58+K59+K60+K61</f>
        <v>6727.5</v>
      </c>
    </row>
    <row r="58" spans="2:11" ht="15.75" x14ac:dyDescent="0.25">
      <c r="B58" s="8">
        <v>2</v>
      </c>
      <c r="C58" s="16"/>
      <c r="D58" s="8" t="s">
        <v>6</v>
      </c>
      <c r="E58" s="23">
        <f>645</f>
        <v>645</v>
      </c>
      <c r="F58" s="23">
        <f>849.16667</f>
        <v>849.16666999999995</v>
      </c>
      <c r="G58" s="23">
        <f>815.83333</f>
        <v>815.83333000000005</v>
      </c>
      <c r="H58" s="23">
        <v>0</v>
      </c>
      <c r="I58" s="23">
        <v>0</v>
      </c>
      <c r="J58" s="23">
        <v>0</v>
      </c>
      <c r="K58" s="19">
        <f>E58+F58+G58+H58+I58+J58</f>
        <v>2310</v>
      </c>
    </row>
    <row r="59" spans="2:11" ht="15.75" x14ac:dyDescent="0.25">
      <c r="B59" s="8">
        <v>3</v>
      </c>
      <c r="C59" s="16"/>
      <c r="D59" s="8" t="s">
        <v>7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19">
        <f t="shared" ref="K59:K61" si="22">E59+F59+G59+H59+I59+J59</f>
        <v>0</v>
      </c>
    </row>
    <row r="60" spans="2:11" ht="15.75" x14ac:dyDescent="0.25">
      <c r="B60" s="8">
        <v>4</v>
      </c>
      <c r="C60" s="16"/>
      <c r="D60" s="8" t="s">
        <v>8</v>
      </c>
      <c r="E60" s="23">
        <f>1072.5</f>
        <v>1072.5</v>
      </c>
      <c r="F60" s="23">
        <f>1072.5+1000</f>
        <v>2072.5</v>
      </c>
      <c r="G60" s="23">
        <f>1072.5+200</f>
        <v>1272.5</v>
      </c>
      <c r="H60" s="23">
        <v>0</v>
      </c>
      <c r="I60" s="23">
        <v>0</v>
      </c>
      <c r="J60" s="23">
        <v>0</v>
      </c>
      <c r="K60" s="19">
        <f t="shared" si="22"/>
        <v>4417.5</v>
      </c>
    </row>
    <row r="61" spans="2:11" ht="15.75" x14ac:dyDescent="0.25">
      <c r="B61" s="8">
        <v>5</v>
      </c>
      <c r="C61" s="16"/>
      <c r="D61" s="8" t="s">
        <v>9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19">
        <f t="shared" si="22"/>
        <v>0</v>
      </c>
    </row>
    <row r="62" spans="2:11" ht="47.25" x14ac:dyDescent="0.25">
      <c r="B62" s="8">
        <v>1</v>
      </c>
      <c r="C62" s="14" t="s">
        <v>22</v>
      </c>
      <c r="D62" s="15" t="s">
        <v>17</v>
      </c>
      <c r="E62" s="21">
        <f>SUM(E63:E66)</f>
        <v>294.5</v>
      </c>
      <c r="F62" s="21">
        <f t="shared" ref="F62:J62" si="23">SUM(F63:F66)</f>
        <v>860.02082999999993</v>
      </c>
      <c r="G62" s="21">
        <f t="shared" si="23"/>
        <v>428.45833000000005</v>
      </c>
      <c r="H62" s="21">
        <f t="shared" si="23"/>
        <v>0</v>
      </c>
      <c r="I62" s="21">
        <f t="shared" si="23"/>
        <v>0</v>
      </c>
      <c r="J62" s="21">
        <f t="shared" si="23"/>
        <v>0</v>
      </c>
      <c r="K62" s="21">
        <f>K63+K64+K65+K66</f>
        <v>1582.9791599999999</v>
      </c>
    </row>
    <row r="63" spans="2:11" ht="15.75" x14ac:dyDescent="0.25">
      <c r="B63" s="8">
        <v>2</v>
      </c>
      <c r="C63" s="16"/>
      <c r="D63" s="8" t="s">
        <v>6</v>
      </c>
      <c r="E63" s="23">
        <f>159.5</f>
        <v>159.5</v>
      </c>
      <c r="F63" s="23">
        <f>182.12083</f>
        <v>182.12083000000001</v>
      </c>
      <c r="G63" s="23">
        <f>164.85833</f>
        <v>164.85833</v>
      </c>
      <c r="H63" s="23">
        <v>0</v>
      </c>
      <c r="I63" s="23">
        <v>0</v>
      </c>
      <c r="J63" s="23">
        <v>0</v>
      </c>
      <c r="K63" s="23">
        <f>E63+F63+G63+H63+I63+J63</f>
        <v>506.47915999999998</v>
      </c>
    </row>
    <row r="64" spans="2:11" ht="15.75" x14ac:dyDescent="0.25">
      <c r="B64" s="8">
        <v>3</v>
      </c>
      <c r="C64" s="16"/>
      <c r="D64" s="8" t="s">
        <v>7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f t="shared" ref="K64:K66" si="24">E64+F64+G64+H64+I64+J64</f>
        <v>0</v>
      </c>
    </row>
    <row r="65" spans="2:11" ht="15.75" x14ac:dyDescent="0.25">
      <c r="B65" s="8">
        <v>4</v>
      </c>
      <c r="C65" s="16"/>
      <c r="D65" s="8" t="s">
        <v>8</v>
      </c>
      <c r="E65" s="23">
        <f>135</f>
        <v>135</v>
      </c>
      <c r="F65" s="23">
        <f>135+542.9</f>
        <v>677.9</v>
      </c>
      <c r="G65" s="23">
        <f>135+128.6</f>
        <v>263.60000000000002</v>
      </c>
      <c r="H65" s="23">
        <v>0</v>
      </c>
      <c r="I65" s="23">
        <v>0</v>
      </c>
      <c r="J65" s="23">
        <v>0</v>
      </c>
      <c r="K65" s="23">
        <f t="shared" si="24"/>
        <v>1076.5</v>
      </c>
    </row>
    <row r="66" spans="2:11" ht="15.75" x14ac:dyDescent="0.25">
      <c r="B66" s="8">
        <v>5</v>
      </c>
      <c r="C66" s="16"/>
      <c r="D66" s="8" t="s">
        <v>9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v>0</v>
      </c>
      <c r="K66" s="23">
        <f t="shared" si="24"/>
        <v>0</v>
      </c>
    </row>
    <row r="67" spans="2:11" ht="48" customHeight="1" x14ac:dyDescent="0.25">
      <c r="B67" s="28">
        <v>1</v>
      </c>
      <c r="C67" s="34" t="s">
        <v>24</v>
      </c>
      <c r="D67" s="28" t="s">
        <v>17</v>
      </c>
      <c r="E67" s="29">
        <f>SUM(E68:E79)</f>
        <v>3603.1</v>
      </c>
      <c r="F67" s="29">
        <f>SUM(F68:F79)</f>
        <v>4000</v>
      </c>
      <c r="G67" s="29">
        <f>G68+G69+G70+G71</f>
        <v>3200</v>
      </c>
      <c r="H67" s="29">
        <f>H68+H69+H70+H71</f>
        <v>0</v>
      </c>
      <c r="I67" s="29">
        <f>I68+I69+I70+I71</f>
        <v>0</v>
      </c>
      <c r="J67" s="29">
        <f>J68+J69+J70+J71</f>
        <v>0</v>
      </c>
      <c r="K67" s="29">
        <f>SUM(K68:K79)</f>
        <v>11603.1</v>
      </c>
    </row>
    <row r="68" spans="2:11" ht="15.75" customHeight="1" x14ac:dyDescent="0.25">
      <c r="B68" s="8">
        <v>2</v>
      </c>
      <c r="C68" s="36" t="s">
        <v>35</v>
      </c>
      <c r="D68" s="8" t="s">
        <v>6</v>
      </c>
      <c r="E68" s="22">
        <v>1600</v>
      </c>
      <c r="F68" s="22">
        <v>3200</v>
      </c>
      <c r="G68" s="22">
        <v>3200</v>
      </c>
      <c r="H68" s="22">
        <v>0</v>
      </c>
      <c r="I68" s="22">
        <v>0</v>
      </c>
      <c r="J68" s="22">
        <v>0</v>
      </c>
      <c r="K68" s="19">
        <f>E68+F68+G68+H68+I68+J68</f>
        <v>8000</v>
      </c>
    </row>
    <row r="69" spans="2:11" ht="15.75" customHeight="1" x14ac:dyDescent="0.25">
      <c r="B69" s="8">
        <v>3</v>
      </c>
      <c r="C69" s="39"/>
      <c r="D69" s="8" t="s">
        <v>7</v>
      </c>
      <c r="E69" s="22">
        <v>0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19">
        <f t="shared" ref="K69:K71" si="25">E69+F69+G69+H69+I69+J69</f>
        <v>0</v>
      </c>
    </row>
    <row r="70" spans="2:11" ht="15.75" customHeight="1" x14ac:dyDescent="0.25">
      <c r="B70" s="8">
        <v>4</v>
      </c>
      <c r="C70" s="39"/>
      <c r="D70" s="8" t="s">
        <v>8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19">
        <f t="shared" si="25"/>
        <v>0</v>
      </c>
    </row>
    <row r="71" spans="2:11" ht="15.75" customHeight="1" x14ac:dyDescent="0.25">
      <c r="B71" s="8">
        <v>5</v>
      </c>
      <c r="C71" s="40"/>
      <c r="D71" s="8" t="s">
        <v>9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19">
        <f t="shared" si="25"/>
        <v>0</v>
      </c>
    </row>
    <row r="72" spans="2:11" ht="15.75" x14ac:dyDescent="0.25">
      <c r="B72" s="13">
        <v>1</v>
      </c>
      <c r="C72" s="36" t="s">
        <v>36</v>
      </c>
      <c r="D72" s="13" t="s">
        <v>6</v>
      </c>
      <c r="E72" s="22">
        <v>400</v>
      </c>
      <c r="F72" s="22">
        <v>800</v>
      </c>
      <c r="G72" s="22">
        <v>800</v>
      </c>
      <c r="H72" s="22">
        <v>0</v>
      </c>
      <c r="I72" s="22">
        <v>0</v>
      </c>
      <c r="J72" s="22">
        <v>0</v>
      </c>
      <c r="K72" s="22">
        <f>E72+F72+G72+H72+I72+J72</f>
        <v>2000</v>
      </c>
    </row>
    <row r="73" spans="2:11" ht="15.75" x14ac:dyDescent="0.25">
      <c r="B73" s="13">
        <v>2</v>
      </c>
      <c r="C73" s="39"/>
      <c r="D73" s="13" t="s">
        <v>7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>
        <v>0</v>
      </c>
      <c r="K73" s="22">
        <f t="shared" ref="K73:K75" si="26">E73+F73+G73+H73+I73+J73</f>
        <v>0</v>
      </c>
    </row>
    <row r="74" spans="2:11" ht="15.75" x14ac:dyDescent="0.25">
      <c r="B74" s="13">
        <v>3</v>
      </c>
      <c r="C74" s="39"/>
      <c r="D74" s="13" t="s">
        <v>8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f t="shared" si="26"/>
        <v>0</v>
      </c>
    </row>
    <row r="75" spans="2:11" ht="15.75" x14ac:dyDescent="0.25">
      <c r="B75" s="13">
        <v>4</v>
      </c>
      <c r="C75" s="40"/>
      <c r="D75" s="13" t="s">
        <v>9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f t="shared" si="26"/>
        <v>0</v>
      </c>
    </row>
    <row r="76" spans="2:11" ht="15.75" x14ac:dyDescent="0.25">
      <c r="B76" s="32">
        <v>1</v>
      </c>
      <c r="C76" s="36" t="s">
        <v>37</v>
      </c>
      <c r="D76" s="32" t="s">
        <v>6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</row>
    <row r="77" spans="2:11" ht="15.75" x14ac:dyDescent="0.25">
      <c r="B77" s="32">
        <v>2</v>
      </c>
      <c r="C77" s="39"/>
      <c r="D77" s="32" t="s">
        <v>7</v>
      </c>
      <c r="E77" s="22">
        <v>0</v>
      </c>
      <c r="F77" s="22">
        <v>0</v>
      </c>
      <c r="G77" s="22">
        <v>0</v>
      </c>
      <c r="H77" s="22">
        <v>0</v>
      </c>
      <c r="I77" s="22">
        <v>0</v>
      </c>
      <c r="J77" s="22">
        <v>0</v>
      </c>
      <c r="K77" s="22">
        <v>0</v>
      </c>
    </row>
    <row r="78" spans="2:11" ht="15.75" x14ac:dyDescent="0.25">
      <c r="B78" s="32">
        <v>3</v>
      </c>
      <c r="C78" s="39"/>
      <c r="D78" s="32" t="s">
        <v>8</v>
      </c>
      <c r="E78" s="22">
        <v>1603.1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f>SUM(E78:J78)</f>
        <v>1603.1</v>
      </c>
    </row>
    <row r="79" spans="2:11" ht="15.75" x14ac:dyDescent="0.25">
      <c r="B79" s="32">
        <v>4</v>
      </c>
      <c r="C79" s="40"/>
      <c r="D79" s="32" t="s">
        <v>9</v>
      </c>
      <c r="E79" s="22">
        <v>0</v>
      </c>
      <c r="F79" s="22">
        <v>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</row>
    <row r="80" spans="2:11" ht="66" customHeight="1" x14ac:dyDescent="0.25">
      <c r="B80" s="28">
        <v>1</v>
      </c>
      <c r="C80" s="34" t="s">
        <v>31</v>
      </c>
      <c r="D80" s="28" t="s">
        <v>17</v>
      </c>
      <c r="E80" s="29">
        <f t="shared" ref="E80:K80" si="27">E81+E82+E83+E84</f>
        <v>60833.854169999999</v>
      </c>
      <c r="F80" s="29">
        <f t="shared" si="27"/>
        <v>0</v>
      </c>
      <c r="G80" s="29">
        <f t="shared" si="27"/>
        <v>0</v>
      </c>
      <c r="H80" s="29">
        <f t="shared" si="27"/>
        <v>0</v>
      </c>
      <c r="I80" s="29">
        <f t="shared" si="27"/>
        <v>0</v>
      </c>
      <c r="J80" s="29">
        <f t="shared" si="27"/>
        <v>0</v>
      </c>
      <c r="K80" s="29">
        <f t="shared" si="27"/>
        <v>60833.854169999999</v>
      </c>
    </row>
    <row r="81" spans="2:11" ht="15.75" customHeight="1" x14ac:dyDescent="0.25">
      <c r="B81" s="13">
        <v>2</v>
      </c>
      <c r="C81" s="36" t="s">
        <v>39</v>
      </c>
      <c r="D81" s="13" t="s">
        <v>6</v>
      </c>
      <c r="E81" s="22">
        <f>2433.35417</f>
        <v>2433.3541700000001</v>
      </c>
      <c r="F81" s="22">
        <v>0</v>
      </c>
      <c r="G81" s="22">
        <v>0</v>
      </c>
      <c r="H81" s="22">
        <v>0</v>
      </c>
      <c r="I81" s="22">
        <v>0</v>
      </c>
      <c r="J81" s="22">
        <v>0</v>
      </c>
      <c r="K81" s="22">
        <f>E81+F81+G81+H81+I81+J81</f>
        <v>2433.3541700000001</v>
      </c>
    </row>
    <row r="82" spans="2:11" ht="15.75" x14ac:dyDescent="0.25">
      <c r="B82" s="13">
        <v>3</v>
      </c>
      <c r="C82" s="39"/>
      <c r="D82" s="13" t="s">
        <v>7</v>
      </c>
      <c r="E82" s="22">
        <v>0</v>
      </c>
      <c r="F82" s="22">
        <v>0</v>
      </c>
      <c r="G82" s="22">
        <v>0</v>
      </c>
      <c r="H82" s="22">
        <v>0</v>
      </c>
      <c r="I82" s="22">
        <v>0</v>
      </c>
      <c r="J82" s="22">
        <v>0</v>
      </c>
      <c r="K82" s="22">
        <f t="shared" ref="K82:K84" si="28">E82+F82+G82+H82+I82+J82</f>
        <v>0</v>
      </c>
    </row>
    <row r="83" spans="2:11" ht="15.75" x14ac:dyDescent="0.25">
      <c r="B83" s="13">
        <v>4</v>
      </c>
      <c r="C83" s="39"/>
      <c r="D83" s="13" t="s">
        <v>8</v>
      </c>
      <c r="E83" s="22">
        <f>58400.5</f>
        <v>58400.5</v>
      </c>
      <c r="F83" s="22">
        <v>0</v>
      </c>
      <c r="G83" s="22">
        <v>0</v>
      </c>
      <c r="H83" s="22">
        <v>0</v>
      </c>
      <c r="I83" s="22">
        <v>0</v>
      </c>
      <c r="J83" s="22">
        <v>0</v>
      </c>
      <c r="K83" s="22">
        <f t="shared" si="28"/>
        <v>58400.5</v>
      </c>
    </row>
    <row r="84" spans="2:11" ht="41.25" customHeight="1" x14ac:dyDescent="0.25">
      <c r="B84" s="13">
        <v>5</v>
      </c>
      <c r="C84" s="40"/>
      <c r="D84" s="13" t="s">
        <v>9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f t="shared" si="28"/>
        <v>0</v>
      </c>
    </row>
    <row r="85" spans="2:11" ht="45.75" customHeight="1" x14ac:dyDescent="0.25">
      <c r="B85" s="28">
        <v>1</v>
      </c>
      <c r="C85" s="34" t="s">
        <v>25</v>
      </c>
      <c r="D85" s="28" t="s">
        <v>17</v>
      </c>
      <c r="E85" s="29">
        <f>E86+E87+E88+E89</f>
        <v>0</v>
      </c>
      <c r="F85" s="29">
        <f t="shared" ref="F85:K85" si="29">F86+F87+F88+F89</f>
        <v>43000</v>
      </c>
      <c r="G85" s="29">
        <f t="shared" si="29"/>
        <v>0</v>
      </c>
      <c r="H85" s="29">
        <f t="shared" si="29"/>
        <v>0</v>
      </c>
      <c r="I85" s="29">
        <f t="shared" si="29"/>
        <v>0</v>
      </c>
      <c r="J85" s="29">
        <f t="shared" si="29"/>
        <v>0</v>
      </c>
      <c r="K85" s="29">
        <f t="shared" si="29"/>
        <v>43000</v>
      </c>
    </row>
    <row r="86" spans="2:11" ht="15.75" x14ac:dyDescent="0.25">
      <c r="B86" s="13">
        <v>2</v>
      </c>
      <c r="C86" s="36" t="s">
        <v>38</v>
      </c>
      <c r="D86" s="33" t="s">
        <v>6</v>
      </c>
      <c r="E86" s="22">
        <v>0</v>
      </c>
      <c r="F86" s="22">
        <f>1720</f>
        <v>1720</v>
      </c>
      <c r="G86" s="22">
        <v>0</v>
      </c>
      <c r="H86" s="22">
        <v>0</v>
      </c>
      <c r="I86" s="22">
        <v>0</v>
      </c>
      <c r="J86" s="22">
        <v>0</v>
      </c>
      <c r="K86" s="22">
        <f>E86+F86+G86+H86+I86+J86</f>
        <v>1720</v>
      </c>
    </row>
    <row r="87" spans="2:11" ht="15.75" x14ac:dyDescent="0.25">
      <c r="B87" s="13">
        <v>3</v>
      </c>
      <c r="C87" s="37"/>
      <c r="D87" s="33" t="s">
        <v>7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f t="shared" ref="K87:K89" si="30">E87+F87+G87+H87+I87+J87</f>
        <v>0</v>
      </c>
    </row>
    <row r="88" spans="2:11" ht="15.75" x14ac:dyDescent="0.25">
      <c r="B88" s="13">
        <v>4</v>
      </c>
      <c r="C88" s="37"/>
      <c r="D88" s="33" t="s">
        <v>8</v>
      </c>
      <c r="E88" s="22">
        <v>0</v>
      </c>
      <c r="F88" s="22">
        <f>41280</f>
        <v>41280</v>
      </c>
      <c r="G88" s="22">
        <v>0</v>
      </c>
      <c r="H88" s="22">
        <v>0</v>
      </c>
      <c r="I88" s="22">
        <v>0</v>
      </c>
      <c r="J88" s="22">
        <v>0</v>
      </c>
      <c r="K88" s="22">
        <f t="shared" si="30"/>
        <v>41280</v>
      </c>
    </row>
    <row r="89" spans="2:11" ht="42.75" customHeight="1" x14ac:dyDescent="0.25">
      <c r="B89" s="13">
        <v>5</v>
      </c>
      <c r="C89" s="38"/>
      <c r="D89" s="33" t="s">
        <v>9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f t="shared" si="30"/>
        <v>0</v>
      </c>
    </row>
    <row r="90" spans="2:11" ht="31.5" x14ac:dyDescent="0.25">
      <c r="B90" s="28">
        <v>1</v>
      </c>
      <c r="C90" s="35" t="s">
        <v>26</v>
      </c>
      <c r="D90" s="28" t="s">
        <v>17</v>
      </c>
      <c r="E90" s="29">
        <f t="shared" ref="E90:K90" si="31">SUM(E91:E102)</f>
        <v>32779.712500000001</v>
      </c>
      <c r="F90" s="29">
        <f t="shared" si="31"/>
        <v>42834.108330000003</v>
      </c>
      <c r="G90" s="29">
        <f t="shared" si="31"/>
        <v>38220.983330000003</v>
      </c>
      <c r="H90" s="29">
        <f t="shared" si="31"/>
        <v>0</v>
      </c>
      <c r="I90" s="29">
        <f t="shared" si="31"/>
        <v>0</v>
      </c>
      <c r="J90" s="29">
        <f t="shared" si="31"/>
        <v>0</v>
      </c>
      <c r="K90" s="29">
        <f t="shared" si="31"/>
        <v>113834.80416</v>
      </c>
    </row>
    <row r="91" spans="2:11" ht="15.75" x14ac:dyDescent="0.25">
      <c r="B91" s="31">
        <v>1</v>
      </c>
      <c r="C91" s="49" t="s">
        <v>32</v>
      </c>
      <c r="D91" s="17" t="s">
        <v>6</v>
      </c>
      <c r="E91" s="23">
        <f>1200+150+900+80+60+220+150+100+20+18+30+50+50+50+48.5+50+29+186.5+101+50+50+14.5</f>
        <v>3607.5</v>
      </c>
      <c r="F91" s="23">
        <f>1200+150+550+800+80+150+220+150+100+100+20+18+32+30+50+50+48.5+50+35+29+186.5+162.5+101+50+50+14.5</f>
        <v>4427</v>
      </c>
      <c r="G91" s="23">
        <f>1200+150+550+800+80+150+220+150+100+100+20+18+32+30+50+50+48.5+50+35+29+186.5+162.5+101+50+50+14.5</f>
        <v>4427</v>
      </c>
      <c r="H91" s="23">
        <v>0</v>
      </c>
      <c r="I91" s="23">
        <v>0</v>
      </c>
      <c r="J91" s="23">
        <v>0</v>
      </c>
      <c r="K91" s="23">
        <f t="shared" ref="K91:K98" si="32">SUM(E91:J91)</f>
        <v>12461.5</v>
      </c>
    </row>
    <row r="92" spans="2:11" ht="15.75" x14ac:dyDescent="0.25">
      <c r="B92" s="31">
        <v>2</v>
      </c>
      <c r="C92" s="50"/>
      <c r="D92" s="17" t="s">
        <v>7</v>
      </c>
      <c r="E92" s="23">
        <v>0</v>
      </c>
      <c r="F92" s="23">
        <v>0</v>
      </c>
      <c r="G92" s="23">
        <v>0</v>
      </c>
      <c r="H92" s="23">
        <v>0</v>
      </c>
      <c r="I92" s="23">
        <v>0</v>
      </c>
      <c r="J92" s="23">
        <v>0</v>
      </c>
      <c r="K92" s="23">
        <f t="shared" si="32"/>
        <v>0</v>
      </c>
    </row>
    <row r="93" spans="2:11" ht="15.75" x14ac:dyDescent="0.25">
      <c r="B93" s="31">
        <v>3</v>
      </c>
      <c r="C93" s="50"/>
      <c r="D93" s="17" t="s">
        <v>8</v>
      </c>
      <c r="E93" s="23">
        <v>0</v>
      </c>
      <c r="F93" s="23">
        <v>0</v>
      </c>
      <c r="G93" s="23">
        <v>0</v>
      </c>
      <c r="H93" s="23">
        <v>0</v>
      </c>
      <c r="I93" s="23">
        <v>0</v>
      </c>
      <c r="J93" s="23">
        <v>0</v>
      </c>
      <c r="K93" s="23">
        <f t="shared" si="32"/>
        <v>0</v>
      </c>
    </row>
    <row r="94" spans="2:11" ht="15.75" x14ac:dyDescent="0.25">
      <c r="B94" s="31">
        <v>4</v>
      </c>
      <c r="C94" s="51"/>
      <c r="D94" s="17" t="s">
        <v>9</v>
      </c>
      <c r="E94" s="23"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  <c r="K94" s="23">
        <f t="shared" si="32"/>
        <v>0</v>
      </c>
    </row>
    <row r="95" spans="2:11" ht="15.75" x14ac:dyDescent="0.25">
      <c r="B95" s="31">
        <v>1</v>
      </c>
      <c r="C95" s="49" t="s">
        <v>33</v>
      </c>
      <c r="D95" s="17" t="s">
        <v>6</v>
      </c>
      <c r="E95" s="23">
        <f>4266.93333+650+237.5+117.5+172.5+172.5+122.5+357.5+45</f>
        <v>6141.9333299999998</v>
      </c>
      <c r="F95" s="23">
        <f>4266.93333+650+237.5+117.5+172.5+172.5+122.5+357.5+45</f>
        <v>6141.9333299999998</v>
      </c>
      <c r="G95" s="23">
        <f>4266.93333+650+237.5+117.5+172.5+172.5+122.5+357.5+45</f>
        <v>6141.9333299999998</v>
      </c>
      <c r="H95" s="23">
        <v>0</v>
      </c>
      <c r="I95" s="23">
        <v>0</v>
      </c>
      <c r="J95" s="23">
        <v>0</v>
      </c>
      <c r="K95" s="23">
        <f t="shared" si="32"/>
        <v>18425.79999</v>
      </c>
    </row>
    <row r="96" spans="2:11" ht="15.75" x14ac:dyDescent="0.25">
      <c r="B96" s="31">
        <v>2</v>
      </c>
      <c r="C96" s="50"/>
      <c r="D96" s="17" t="s">
        <v>7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f t="shared" si="32"/>
        <v>0</v>
      </c>
    </row>
    <row r="97" spans="1:11" ht="15.75" x14ac:dyDescent="0.25">
      <c r="B97" s="31">
        <v>3</v>
      </c>
      <c r="C97" s="50"/>
      <c r="D97" s="17" t="s">
        <v>8</v>
      </c>
      <c r="E97" s="23">
        <f>12800.8+1950+712.5+352.5+517.5+517.5+367.5+1072.5+135</f>
        <v>18425.8</v>
      </c>
      <c r="F97" s="23">
        <f>12800.8+1950+712.5+352.5+517.5+517.5+367.5+1072.5+135</f>
        <v>18425.8</v>
      </c>
      <c r="G97" s="23">
        <f>12800.8+1950+712.5+352.5+517.5+517.5+367.5+1072.5+135</f>
        <v>18425.8</v>
      </c>
      <c r="H97" s="23">
        <v>0</v>
      </c>
      <c r="I97" s="23">
        <v>0</v>
      </c>
      <c r="J97" s="23">
        <v>0</v>
      </c>
      <c r="K97" s="23">
        <f t="shared" si="32"/>
        <v>55277.399999999994</v>
      </c>
    </row>
    <row r="98" spans="1:11" ht="15.75" x14ac:dyDescent="0.25">
      <c r="B98" s="31">
        <v>4</v>
      </c>
      <c r="C98" s="51"/>
      <c r="D98" s="17" t="s">
        <v>9</v>
      </c>
      <c r="E98" s="23">
        <v>0</v>
      </c>
      <c r="F98" s="23">
        <v>0</v>
      </c>
      <c r="G98" s="23">
        <v>0</v>
      </c>
      <c r="H98" s="23">
        <v>0</v>
      </c>
      <c r="I98" s="23">
        <v>0</v>
      </c>
      <c r="J98" s="23">
        <v>0</v>
      </c>
      <c r="K98" s="23">
        <f t="shared" si="32"/>
        <v>0</v>
      </c>
    </row>
    <row r="99" spans="1:11" ht="15.75" x14ac:dyDescent="0.25">
      <c r="A99" s="30"/>
      <c r="B99" s="17">
        <v>1</v>
      </c>
      <c r="C99" s="36" t="s">
        <v>34</v>
      </c>
      <c r="D99" s="13" t="s">
        <v>6</v>
      </c>
      <c r="E99" s="22">
        <f>184.17917</f>
        <v>184.17917</v>
      </c>
      <c r="F99" s="22">
        <f>333.33334+25+41.66667+25+22.62083+20.83333+20.83333+41.66667+22.62083</f>
        <v>553.57499999999993</v>
      </c>
      <c r="G99" s="22">
        <f>291.66669+25+8.33333+8.33333+5.35833+8.33333+8.33333+8.33333+5.35833</f>
        <v>369.05</v>
      </c>
      <c r="H99" s="22">
        <v>0</v>
      </c>
      <c r="I99" s="22">
        <v>0</v>
      </c>
      <c r="J99" s="22">
        <v>0</v>
      </c>
      <c r="K99" s="22">
        <f>E99+F99+G99+H99+I99+J99</f>
        <v>1106.8041699999999</v>
      </c>
    </row>
    <row r="100" spans="1:11" ht="15.75" x14ac:dyDescent="0.25">
      <c r="A100" s="30"/>
      <c r="B100" s="17">
        <v>2</v>
      </c>
      <c r="C100" s="39"/>
      <c r="D100" s="13" t="s">
        <v>7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f t="shared" ref="K100:K102" si="33">E100+F100+G100+H100+I100+J100</f>
        <v>0</v>
      </c>
    </row>
    <row r="101" spans="1:11" ht="15.75" x14ac:dyDescent="0.25">
      <c r="A101" s="30"/>
      <c r="B101" s="17">
        <v>3</v>
      </c>
      <c r="C101" s="39"/>
      <c r="D101" s="13" t="s">
        <v>8</v>
      </c>
      <c r="E101" s="22">
        <f>4420.3</f>
        <v>4420.3</v>
      </c>
      <c r="F101" s="22">
        <f>8000+600+1000+600+542.9+500+500+1000+542.9</f>
        <v>13285.8</v>
      </c>
      <c r="G101" s="22">
        <f>7000+600+200+200+128.6+200+200+200+128.6</f>
        <v>8857.2000000000007</v>
      </c>
      <c r="H101" s="22">
        <v>0</v>
      </c>
      <c r="I101" s="22">
        <v>0</v>
      </c>
      <c r="J101" s="22">
        <v>0</v>
      </c>
      <c r="K101" s="22">
        <f t="shared" si="33"/>
        <v>26563.3</v>
      </c>
    </row>
    <row r="102" spans="1:11" ht="15.75" x14ac:dyDescent="0.25">
      <c r="A102" s="30"/>
      <c r="B102" s="17">
        <v>4</v>
      </c>
      <c r="C102" s="40"/>
      <c r="D102" s="13" t="s">
        <v>9</v>
      </c>
      <c r="E102" s="22">
        <v>0</v>
      </c>
      <c r="F102" s="22">
        <v>0</v>
      </c>
      <c r="G102" s="22">
        <v>0</v>
      </c>
      <c r="H102" s="22">
        <v>0</v>
      </c>
      <c r="I102" s="22">
        <v>0</v>
      </c>
      <c r="J102" s="22">
        <v>0</v>
      </c>
      <c r="K102" s="22">
        <f t="shared" si="33"/>
        <v>0</v>
      </c>
    </row>
    <row r="103" spans="1:11" ht="47.25" x14ac:dyDescent="0.25">
      <c r="B103" s="28">
        <v>1</v>
      </c>
      <c r="C103" s="34" t="s">
        <v>27</v>
      </c>
      <c r="D103" s="28" t="s">
        <v>17</v>
      </c>
      <c r="E103" s="29">
        <f>E104+E105+E106+E107+E108+E109+E110+E111</f>
        <v>300</v>
      </c>
      <c r="F103" s="29">
        <f t="shared" ref="F103:J103" si="34">F104+F105+F106+F107+F108+F109+F110+F111</f>
        <v>17175</v>
      </c>
      <c r="G103" s="29">
        <f t="shared" si="34"/>
        <v>300</v>
      </c>
      <c r="H103" s="29">
        <f t="shared" si="34"/>
        <v>0</v>
      </c>
      <c r="I103" s="29">
        <f t="shared" si="34"/>
        <v>0</v>
      </c>
      <c r="J103" s="29">
        <f t="shared" si="34"/>
        <v>0</v>
      </c>
      <c r="K103" s="29">
        <f>K104+K105+K106+K107+K108+K109+K110+K111</f>
        <v>17775</v>
      </c>
    </row>
    <row r="104" spans="1:11" ht="15.75" x14ac:dyDescent="0.25">
      <c r="B104" s="13">
        <v>2</v>
      </c>
      <c r="C104" s="36" t="s">
        <v>28</v>
      </c>
      <c r="D104" s="13" t="s">
        <v>6</v>
      </c>
      <c r="E104" s="25">
        <f>300</f>
        <v>300</v>
      </c>
      <c r="F104" s="25">
        <f>300</f>
        <v>300</v>
      </c>
      <c r="G104" s="22">
        <v>300</v>
      </c>
      <c r="H104" s="22">
        <v>0</v>
      </c>
      <c r="I104" s="22">
        <v>0</v>
      </c>
      <c r="J104" s="22">
        <v>0</v>
      </c>
      <c r="K104" s="22">
        <f>E104+F104+G104+H104+I104+J104</f>
        <v>900</v>
      </c>
    </row>
    <row r="105" spans="1:11" ht="15.75" x14ac:dyDescent="0.25">
      <c r="B105" s="13">
        <v>3</v>
      </c>
      <c r="C105" s="37"/>
      <c r="D105" s="13" t="s">
        <v>7</v>
      </c>
      <c r="E105" s="26">
        <v>0</v>
      </c>
      <c r="F105" s="26">
        <v>0</v>
      </c>
      <c r="G105" s="22">
        <v>0</v>
      </c>
      <c r="H105" s="22">
        <v>0</v>
      </c>
      <c r="I105" s="22">
        <v>0</v>
      </c>
      <c r="J105" s="22">
        <v>0</v>
      </c>
      <c r="K105" s="22">
        <f t="shared" ref="K105:K111" si="35">E105+F105+G105+H105+I105+J105</f>
        <v>0</v>
      </c>
    </row>
    <row r="106" spans="1:11" ht="15.75" x14ac:dyDescent="0.25">
      <c r="B106" s="13">
        <v>4</v>
      </c>
      <c r="C106" s="37"/>
      <c r="D106" s="13" t="s">
        <v>8</v>
      </c>
      <c r="E106" s="27">
        <v>0</v>
      </c>
      <c r="F106" s="27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f t="shared" si="35"/>
        <v>0</v>
      </c>
    </row>
    <row r="107" spans="1:11" ht="15.75" x14ac:dyDescent="0.25">
      <c r="B107" s="13">
        <v>5</v>
      </c>
      <c r="C107" s="38"/>
      <c r="D107" s="13" t="s">
        <v>9</v>
      </c>
      <c r="E107" s="19">
        <v>0</v>
      </c>
      <c r="F107" s="19">
        <v>0</v>
      </c>
      <c r="G107" s="22">
        <v>0</v>
      </c>
      <c r="H107" s="22">
        <v>0</v>
      </c>
      <c r="I107" s="22">
        <v>0</v>
      </c>
      <c r="J107" s="22">
        <v>0</v>
      </c>
      <c r="K107" s="22">
        <f t="shared" si="35"/>
        <v>0</v>
      </c>
    </row>
    <row r="108" spans="1:11" ht="15.75" x14ac:dyDescent="0.25">
      <c r="B108" s="9">
        <v>2</v>
      </c>
      <c r="C108" s="36" t="s">
        <v>30</v>
      </c>
      <c r="D108" s="9" t="s">
        <v>6</v>
      </c>
      <c r="E108" s="25">
        <v>0</v>
      </c>
      <c r="F108" s="25">
        <v>675</v>
      </c>
      <c r="G108" s="22">
        <v>0</v>
      </c>
      <c r="H108" s="22">
        <v>0</v>
      </c>
      <c r="I108" s="22">
        <v>0</v>
      </c>
      <c r="J108" s="22">
        <v>0</v>
      </c>
      <c r="K108" s="22">
        <f t="shared" si="35"/>
        <v>675</v>
      </c>
    </row>
    <row r="109" spans="1:11" ht="15.75" x14ac:dyDescent="0.25">
      <c r="B109" s="9">
        <v>3</v>
      </c>
      <c r="C109" s="37"/>
      <c r="D109" s="9" t="s">
        <v>7</v>
      </c>
      <c r="E109" s="25">
        <v>0</v>
      </c>
      <c r="F109" s="25">
        <v>0</v>
      </c>
      <c r="G109" s="22">
        <v>0</v>
      </c>
      <c r="H109" s="22">
        <v>0</v>
      </c>
      <c r="I109" s="22">
        <v>0</v>
      </c>
      <c r="J109" s="22">
        <v>0</v>
      </c>
      <c r="K109" s="22">
        <f t="shared" si="35"/>
        <v>0</v>
      </c>
    </row>
    <row r="110" spans="1:11" ht="15.75" x14ac:dyDescent="0.25">
      <c r="B110" s="9">
        <v>4</v>
      </c>
      <c r="C110" s="37"/>
      <c r="D110" s="9" t="s">
        <v>8</v>
      </c>
      <c r="E110" s="25">
        <v>0</v>
      </c>
      <c r="F110" s="25">
        <v>16200</v>
      </c>
      <c r="G110" s="22">
        <v>0</v>
      </c>
      <c r="H110" s="22">
        <v>0</v>
      </c>
      <c r="I110" s="22">
        <v>0</v>
      </c>
      <c r="J110" s="22">
        <v>0</v>
      </c>
      <c r="K110" s="22">
        <f t="shared" si="35"/>
        <v>16200</v>
      </c>
    </row>
    <row r="111" spans="1:11" ht="15.75" x14ac:dyDescent="0.25">
      <c r="B111" s="9">
        <v>5</v>
      </c>
      <c r="C111" s="38"/>
      <c r="D111" s="9" t="s">
        <v>9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f t="shared" si="35"/>
        <v>0</v>
      </c>
    </row>
    <row r="116" spans="3:3" x14ac:dyDescent="0.25">
      <c r="C116" s="10"/>
    </row>
    <row r="127" spans="3:3" ht="37.5" customHeight="1" x14ac:dyDescent="0.25"/>
    <row r="128" spans="3:3" ht="37.5" customHeight="1" x14ac:dyDescent="0.25"/>
  </sheetData>
  <mergeCells count="15">
    <mergeCell ref="C108:C111"/>
    <mergeCell ref="C72:C75"/>
    <mergeCell ref="C81:C84"/>
    <mergeCell ref="C86:C89"/>
    <mergeCell ref="H1:K1"/>
    <mergeCell ref="B2:K2"/>
    <mergeCell ref="C4:C5"/>
    <mergeCell ref="D4:D5"/>
    <mergeCell ref="E4:K4"/>
    <mergeCell ref="C68:C71"/>
    <mergeCell ref="C91:C94"/>
    <mergeCell ref="C95:C98"/>
    <mergeCell ref="C99:C102"/>
    <mergeCell ref="C104:C107"/>
    <mergeCell ref="C76:C79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табл.4 Паспорт МП</vt:lpstr>
      <vt:lpstr>'табл.4 Паспорт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2025-03-19T07:31:28Z</dcterms:modified>
</cp:coreProperties>
</file>